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4_{0CA11F5C-0AF1-4F6F-AB90-C593FA52E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endar" sheetId="1" r:id="rId1"/>
  </sheets>
  <definedNames>
    <definedName name="AprSun1">DATEVALUE("4/1/"&amp;Calendar!$A$6)-WEEKDAY(DATEVALUE("4/1/"&amp;Calendar!$A$6))+1</definedName>
    <definedName name="AugSun1">DATEVALUE("8/1/"&amp;Calendar!$A$6)-WEEKDAY(DATEVALUE("8/1/"&amp;Calendar!$A$6))+1</definedName>
    <definedName name="DecSun1">DATEVALUE("12/1/"&amp;Calendar!$A$6)-WEEKDAY(DATEVALUE("12/1/"&amp;Calendar!$A$6))+1</definedName>
    <definedName name="FebSun1">DATEVALUE("2/1/"&amp;Calendar!$A$6)-WEEKDAY(DATEVALUE("2/1/"&amp;Calendar!$A$6))+1</definedName>
    <definedName name="JanSun1">DATEVALUE("1/1/"&amp;Calendar!$A$6)-WEEKDAY(DATEVALUE("1/1/"&amp;Calendar!$A$6))+1</definedName>
    <definedName name="JulSun1">DATEVALUE("7/1/"&amp;Calendar!$A$6)-WEEKDAY(DATEVALUE("7/1/"&amp;Calendar!$A$6))+1</definedName>
    <definedName name="JunSun1">DATEVALUE("6/1/"&amp;Calendar!$A$6)-WEEKDAY(DATEVALUE("6/1/"&amp;Calendar!$A$6))+1</definedName>
    <definedName name="MarSun1">DATEVALUE("3/1/"&amp;Calendar!$A$6)-WEEKDAY(DATEVALUE("3/1/"&amp;Calendar!$A$6))+1</definedName>
    <definedName name="MaySun1">DATEVALUE("5/1/"&amp;Calendar!$A$6)-WEEKDAY(DATEVALUE("5/1/"&amp;Calendar!$A$6))+1</definedName>
    <definedName name="NovSun1">DATEVALUE("11/1/"&amp;Calendar!$A$6)-WEEKDAY(DATEVALUE("11/1/"&amp;Calendar!$A$6))+1</definedName>
    <definedName name="OctSun1">DATEVALUE("10/1/"&amp;Calendar!$A$6)-WEEKDAY(DATEVALUE("10/1/"&amp;Calendar!$A$6))+1</definedName>
    <definedName name="_xlnm.Print_Area" localSheetId="0">Calendar!$C$4:$AG$35</definedName>
    <definedName name="SepSun1">DATEVALUE("9/1/"&amp;Calendar!$A$6)-WEEKDAY(DATEVALUE("9/1/"&amp;Calendar!$A$6))+1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C25" i="1"/>
  <c r="D25" i="1"/>
  <c r="E25" i="1"/>
  <c r="F25" i="1"/>
  <c r="G25" i="1"/>
  <c r="H25" i="1"/>
  <c r="I25" i="1"/>
  <c r="AA26" i="1"/>
  <c r="S26" i="1"/>
  <c r="Y25" i="1"/>
  <c r="X25" i="1"/>
  <c r="W25" i="1"/>
  <c r="V25" i="1"/>
  <c r="U25" i="1"/>
  <c r="T25" i="1"/>
  <c r="S25" i="1"/>
  <c r="AG25" i="1"/>
  <c r="AF25" i="1"/>
  <c r="AE25" i="1"/>
  <c r="AD25" i="1"/>
  <c r="AC25" i="1"/>
  <c r="AB25" i="1"/>
  <c r="AA25" i="1"/>
  <c r="Q17" i="1"/>
  <c r="F13" i="1" l="1"/>
  <c r="Y17" i="1" l="1"/>
  <c r="X17" i="1"/>
  <c r="AG17" i="1"/>
  <c r="AF17" i="1"/>
  <c r="AE17" i="1"/>
  <c r="AD17" i="1"/>
  <c r="AC17" i="1"/>
  <c r="AB17" i="1"/>
  <c r="AA17" i="1"/>
  <c r="T17" i="1"/>
  <c r="W17" i="1"/>
  <c r="V17" i="1"/>
  <c r="S17" i="1"/>
  <c r="U17" i="1"/>
  <c r="P17" i="1"/>
  <c r="O17" i="1"/>
  <c r="N17" i="1"/>
  <c r="M17" i="1"/>
  <c r="L17" i="1"/>
  <c r="K17" i="1"/>
  <c r="I17" i="1"/>
  <c r="H17" i="1"/>
  <c r="G17" i="1"/>
  <c r="F17" i="1"/>
  <c r="E17" i="1"/>
  <c r="D17" i="1"/>
  <c r="C17" i="1"/>
  <c r="T30" i="1" l="1"/>
  <c r="AA31" i="1" l="1"/>
  <c r="AB31" i="1"/>
  <c r="AC31" i="1"/>
  <c r="AD31" i="1"/>
  <c r="AE31" i="1"/>
  <c r="AF31" i="1"/>
  <c r="AG31" i="1"/>
  <c r="AA32" i="1"/>
  <c r="AB32" i="1"/>
  <c r="AC32" i="1"/>
  <c r="AD32" i="1"/>
  <c r="AE32" i="1"/>
  <c r="AF32" i="1"/>
  <c r="AG32" i="1"/>
  <c r="AA33" i="1"/>
  <c r="AB33" i="1"/>
  <c r="AC33" i="1"/>
  <c r="AD33" i="1"/>
  <c r="AE33" i="1"/>
  <c r="AF33" i="1"/>
  <c r="AG33" i="1"/>
  <c r="AA34" i="1"/>
  <c r="AB34" i="1"/>
  <c r="AC34" i="1"/>
  <c r="AD34" i="1"/>
  <c r="AE34" i="1"/>
  <c r="AF34" i="1"/>
  <c r="AG34" i="1"/>
  <c r="AG30" i="1"/>
  <c r="AF30" i="1"/>
  <c r="AE30" i="1"/>
  <c r="AD30" i="1"/>
  <c r="AC30" i="1"/>
  <c r="AB30" i="1"/>
  <c r="AA30" i="1"/>
  <c r="AG24" i="1"/>
  <c r="AF24" i="1"/>
  <c r="AE24" i="1"/>
  <c r="AD24" i="1"/>
  <c r="AC24" i="1"/>
  <c r="AB24" i="1"/>
  <c r="AA24" i="1"/>
  <c r="AG23" i="1"/>
  <c r="AF23" i="1"/>
  <c r="AE23" i="1"/>
  <c r="AD23" i="1"/>
  <c r="AC23" i="1"/>
  <c r="AB23" i="1"/>
  <c r="AA23" i="1"/>
  <c r="AG22" i="1"/>
  <c r="AF22" i="1"/>
  <c r="AE22" i="1"/>
  <c r="AD22" i="1"/>
  <c r="AC22" i="1"/>
  <c r="AB22" i="1"/>
  <c r="AA22" i="1"/>
  <c r="AG21" i="1"/>
  <c r="AF21" i="1"/>
  <c r="AE21" i="1"/>
  <c r="AD21" i="1"/>
  <c r="AC21" i="1"/>
  <c r="AB21" i="1"/>
  <c r="AA21" i="1"/>
  <c r="AG16" i="1"/>
  <c r="AF16" i="1"/>
  <c r="AE16" i="1"/>
  <c r="AD16" i="1"/>
  <c r="AC16" i="1"/>
  <c r="AB16" i="1"/>
  <c r="AA16" i="1"/>
  <c r="AG15" i="1"/>
  <c r="AF15" i="1"/>
  <c r="AE15" i="1"/>
  <c r="AD15" i="1"/>
  <c r="AC15" i="1"/>
  <c r="AB15" i="1"/>
  <c r="AA15" i="1"/>
  <c r="AG14" i="1"/>
  <c r="AF14" i="1"/>
  <c r="AE14" i="1"/>
  <c r="AD14" i="1"/>
  <c r="AC14" i="1"/>
  <c r="AB14" i="1"/>
  <c r="AA14" i="1"/>
  <c r="AG13" i="1"/>
  <c r="AF13" i="1"/>
  <c r="AE13" i="1"/>
  <c r="AD13" i="1"/>
  <c r="AC13" i="1"/>
  <c r="AB13" i="1"/>
  <c r="AA13" i="1"/>
  <c r="Y34" i="1"/>
  <c r="X34" i="1"/>
  <c r="W34" i="1"/>
  <c r="V34" i="1"/>
  <c r="U34" i="1"/>
  <c r="T34" i="1"/>
  <c r="S34" i="1"/>
  <c r="Y33" i="1"/>
  <c r="X33" i="1"/>
  <c r="W33" i="1"/>
  <c r="V33" i="1"/>
  <c r="U33" i="1"/>
  <c r="T33" i="1"/>
  <c r="S33" i="1"/>
  <c r="Y32" i="1"/>
  <c r="X32" i="1"/>
  <c r="W32" i="1"/>
  <c r="V32" i="1"/>
  <c r="U32" i="1"/>
  <c r="T32" i="1"/>
  <c r="S32" i="1"/>
  <c r="Y31" i="1"/>
  <c r="X31" i="1"/>
  <c r="W31" i="1"/>
  <c r="V31" i="1"/>
  <c r="U31" i="1"/>
  <c r="T31" i="1"/>
  <c r="S31" i="1"/>
  <c r="Y30" i="1"/>
  <c r="X30" i="1"/>
  <c r="W30" i="1"/>
  <c r="V30" i="1"/>
  <c r="U30" i="1"/>
  <c r="S30" i="1"/>
  <c r="Y24" i="1"/>
  <c r="X24" i="1"/>
  <c r="W24" i="1"/>
  <c r="V24" i="1"/>
  <c r="U24" i="1"/>
  <c r="T24" i="1"/>
  <c r="S24" i="1"/>
  <c r="Y23" i="1"/>
  <c r="X23" i="1"/>
  <c r="W23" i="1"/>
  <c r="V23" i="1"/>
  <c r="U23" i="1"/>
  <c r="T23" i="1"/>
  <c r="S23" i="1"/>
  <c r="Y22" i="1"/>
  <c r="X22" i="1"/>
  <c r="W22" i="1"/>
  <c r="V22" i="1"/>
  <c r="U22" i="1"/>
  <c r="T22" i="1"/>
  <c r="S22" i="1"/>
  <c r="Y21" i="1"/>
  <c r="X21" i="1"/>
  <c r="W21" i="1"/>
  <c r="V21" i="1"/>
  <c r="U21" i="1"/>
  <c r="T21" i="1"/>
  <c r="S21" i="1"/>
  <c r="Y16" i="1"/>
  <c r="X16" i="1"/>
  <c r="W16" i="1"/>
  <c r="V16" i="1"/>
  <c r="U16" i="1"/>
  <c r="T16" i="1"/>
  <c r="S16" i="1"/>
  <c r="Y15" i="1"/>
  <c r="X15" i="1"/>
  <c r="W15" i="1"/>
  <c r="V15" i="1"/>
  <c r="U15" i="1"/>
  <c r="T15" i="1"/>
  <c r="S15" i="1"/>
  <c r="Y14" i="1"/>
  <c r="X14" i="1"/>
  <c r="W14" i="1"/>
  <c r="V14" i="1"/>
  <c r="U14" i="1"/>
  <c r="T14" i="1"/>
  <c r="S14" i="1"/>
  <c r="Y13" i="1"/>
  <c r="X13" i="1"/>
  <c r="W13" i="1"/>
  <c r="V13" i="1"/>
  <c r="U13" i="1"/>
  <c r="T13" i="1"/>
  <c r="S13" i="1"/>
  <c r="Q34" i="1"/>
  <c r="P34" i="1"/>
  <c r="O34" i="1"/>
  <c r="N34" i="1"/>
  <c r="M34" i="1"/>
  <c r="L34" i="1"/>
  <c r="K34" i="1"/>
  <c r="Q33" i="1"/>
  <c r="P33" i="1"/>
  <c r="O33" i="1"/>
  <c r="N33" i="1"/>
  <c r="M33" i="1"/>
  <c r="L33" i="1"/>
  <c r="K33" i="1"/>
  <c r="Q32" i="1"/>
  <c r="P32" i="1"/>
  <c r="O32" i="1"/>
  <c r="N32" i="1"/>
  <c r="M32" i="1"/>
  <c r="L32" i="1"/>
  <c r="K32" i="1"/>
  <c r="Q31" i="1"/>
  <c r="P31" i="1"/>
  <c r="O31" i="1"/>
  <c r="N31" i="1"/>
  <c r="M31" i="1"/>
  <c r="L31" i="1"/>
  <c r="K31" i="1"/>
  <c r="Q30" i="1"/>
  <c r="P30" i="1"/>
  <c r="O30" i="1"/>
  <c r="N30" i="1"/>
  <c r="M30" i="1"/>
  <c r="L30" i="1"/>
  <c r="K30" i="1"/>
  <c r="Q25" i="1"/>
  <c r="P25" i="1"/>
  <c r="O25" i="1"/>
  <c r="N25" i="1"/>
  <c r="M25" i="1"/>
  <c r="L25" i="1"/>
  <c r="K25" i="1"/>
  <c r="Q24" i="1"/>
  <c r="P24" i="1"/>
  <c r="O24" i="1"/>
  <c r="N24" i="1"/>
  <c r="M24" i="1"/>
  <c r="L24" i="1"/>
  <c r="K24" i="1"/>
  <c r="Q23" i="1"/>
  <c r="P23" i="1"/>
  <c r="O23" i="1"/>
  <c r="N23" i="1"/>
  <c r="M23" i="1"/>
  <c r="L23" i="1"/>
  <c r="K23" i="1"/>
  <c r="Q22" i="1"/>
  <c r="P22" i="1"/>
  <c r="O22" i="1"/>
  <c r="N22" i="1"/>
  <c r="M22" i="1"/>
  <c r="L22" i="1"/>
  <c r="K22" i="1"/>
  <c r="Q21" i="1"/>
  <c r="P21" i="1"/>
  <c r="O21" i="1"/>
  <c r="N21" i="1"/>
  <c r="M21" i="1"/>
  <c r="L21" i="1"/>
  <c r="K21" i="1"/>
  <c r="Q16" i="1"/>
  <c r="P16" i="1"/>
  <c r="O16" i="1"/>
  <c r="N16" i="1"/>
  <c r="M16" i="1"/>
  <c r="L16" i="1"/>
  <c r="K16" i="1"/>
  <c r="Q15" i="1"/>
  <c r="P15" i="1"/>
  <c r="O15" i="1"/>
  <c r="N15" i="1"/>
  <c r="M15" i="1"/>
  <c r="L15" i="1"/>
  <c r="K15" i="1"/>
  <c r="Q14" i="1"/>
  <c r="P14" i="1"/>
  <c r="O14" i="1"/>
  <c r="N14" i="1"/>
  <c r="M14" i="1"/>
  <c r="L14" i="1"/>
  <c r="K14" i="1"/>
  <c r="Q13" i="1"/>
  <c r="P13" i="1"/>
  <c r="O13" i="1"/>
  <c r="N13" i="1"/>
  <c r="M13" i="1"/>
  <c r="L13" i="1"/>
  <c r="K13" i="1"/>
  <c r="I34" i="1"/>
  <c r="H34" i="1"/>
  <c r="G34" i="1"/>
  <c r="F34" i="1"/>
  <c r="E34" i="1"/>
  <c r="D34" i="1"/>
  <c r="C34" i="1"/>
  <c r="I33" i="1"/>
  <c r="H33" i="1"/>
  <c r="G33" i="1"/>
  <c r="F33" i="1"/>
  <c r="E33" i="1"/>
  <c r="D33" i="1"/>
  <c r="C33" i="1"/>
  <c r="I32" i="1"/>
  <c r="H32" i="1"/>
  <c r="G32" i="1"/>
  <c r="F32" i="1"/>
  <c r="E32" i="1"/>
  <c r="D32" i="1"/>
  <c r="C32" i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E13" i="1"/>
  <c r="D13" i="1"/>
  <c r="C13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<sst xmlns="http://schemas.openxmlformats.org/spreadsheetml/2006/main" count="102" uniqueCount="23">
  <si>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</si>
  <si>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</si>
  <si>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</si>
  <si>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</si>
  <si>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</si>
  <si>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January</t>
  </si>
  <si>
    <t>February</t>
  </si>
  <si>
    <t>March</t>
  </si>
  <si>
    <t>April</t>
  </si>
  <si>
    <t>May</t>
  </si>
  <si>
    <t>June</t>
  </si>
  <si>
    <t>July</t>
  </si>
  <si>
    <t>September</t>
  </si>
  <si>
    <t>October</t>
  </si>
  <si>
    <t>August</t>
  </si>
  <si>
    <t>November</t>
  </si>
  <si>
    <t>December</t>
  </si>
  <si>
    <t>…. Learn to swim!</t>
  </si>
  <si>
    <t>1080 S. DeAnza Blvd - San Jose, CA 95129</t>
  </si>
  <si>
    <t>www.daca.org</t>
  </si>
  <si>
    <t>DACA Closed</t>
  </si>
  <si>
    <t>Tel 408-446-5600</t>
  </si>
  <si>
    <t>DACA Swim School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</si>
</sst>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dd"/>
    <numFmt numFmtId="166" formatCode="d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sz val="36"/>
      <name val="Calibri"/>
      <family val="2"/>
      <scheme val="minor"/>
    </font>
    <font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0" xfId="0" applyFont="1" applyFill="1"/>
    <xf numFmtId="166" fontId="3" fillId="2" borderId="1" xfId="0" applyNumberFormat="1" applyFont="1" applyFill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1" fontId="4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6" fontId="3" fillId="0" borderId="1" xfId="0" applyNumberFormat="1" applyFont="1" applyBorder="1"/>
    <xf numFmtId="166" fontId="3" fillId="0" borderId="5" xfId="0" applyNumberFormat="1" applyFont="1" applyBorder="1"/>
    <xf numFmtId="166" fontId="3" fillId="0" borderId="0" xfId="0" applyNumberFormat="1" applyFont="1"/>
    <xf numFmtId="165" fontId="3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6" fontId="3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5" fmlaLink="$A$6" max="9999" min="1900" page="10" val="202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3</xdr:row>
      <xdr:rowOff>180976</xdr:rowOff>
    </xdr:from>
    <xdr:to>
      <xdr:col>9</xdr:col>
      <xdr:colOff>219075</xdr:colOff>
      <xdr:row>9</xdr:row>
      <xdr:rowOff>95251</xdr:rowOff>
    </xdr:to>
    <xdr:pic>
      <xdr:nvPicPr>
        <xdr:cNvPr id="2" name="Picture 1" descr="LOGO-FIN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80976"/>
          <a:ext cx="1838325" cy="12001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0</xdr:rowOff>
        </xdr:from>
        <xdr:to>
          <xdr:col>1</xdr:col>
          <xdr:colOff>209550</xdr:colOff>
          <xdr:row>7</xdr:row>
          <xdr:rowOff>19050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G39"/>
  <sheetViews>
    <sheetView showGridLines="0" tabSelected="1" workbookViewId="0">
      <selection activeCell="AJ17" sqref="AJ17"/>
    </sheetView>
  </sheetViews>
  <sheetFormatPr defaultColWidth="9.140625" defaultRowHeight="12.75" x14ac:dyDescent="0.2"/>
  <cols>
    <col min="1" max="1" width="9.5703125" style="3" bestFit="1" customWidth="1"/>
    <col min="2" max="33" width="3.7109375" style="3" customWidth="1"/>
    <col min="34" max="34" width="9.140625" style="3" customWidth="1"/>
    <col min="35" max="16384" width="9.140625" style="3"/>
  </cols>
  <sheetData>
    <row r="4" spans="1:33" ht="36" customHeight="1" x14ac:dyDescent="0.7">
      <c r="K4" s="4" t="s">
        <v>22</v>
      </c>
    </row>
    <row r="5" spans="1:33" ht="17.25" customHeight="1" x14ac:dyDescent="0.35">
      <c r="K5" s="5" t="s">
        <v>17</v>
      </c>
    </row>
    <row r="6" spans="1:33" ht="11.25" customHeight="1" x14ac:dyDescent="0.2">
      <c r="A6" s="6">
        <v>2025</v>
      </c>
      <c r="C6" s="7"/>
      <c r="D6" s="7"/>
      <c r="E6" s="7"/>
      <c r="F6" s="7"/>
      <c r="G6" s="7"/>
      <c r="H6" s="7"/>
      <c r="I6" s="7"/>
      <c r="J6" s="7"/>
      <c r="K6" s="7" t="s">
        <v>18</v>
      </c>
      <c r="L6" s="7"/>
      <c r="M6" s="7"/>
      <c r="N6" s="7"/>
      <c r="O6" s="7"/>
      <c r="P6" s="7"/>
      <c r="Q6" s="7"/>
      <c r="R6" s="7"/>
      <c r="S6" s="7"/>
      <c r="T6" s="7"/>
      <c r="AB6" s="3" t="s">
        <v>20</v>
      </c>
    </row>
    <row r="7" spans="1:33" ht="14.25" customHeight="1" x14ac:dyDescent="0.2">
      <c r="A7" s="6"/>
      <c r="C7" s="7"/>
      <c r="D7" s="7"/>
      <c r="E7" s="7"/>
      <c r="F7" s="7"/>
      <c r="G7" s="7"/>
      <c r="H7" s="7"/>
      <c r="I7" s="7"/>
      <c r="J7" s="7"/>
      <c r="K7" s="7" t="s">
        <v>21</v>
      </c>
      <c r="L7" s="7"/>
      <c r="M7" s="7"/>
      <c r="N7" s="7"/>
      <c r="O7" s="7"/>
      <c r="P7" s="7"/>
      <c r="Q7" s="7"/>
      <c r="R7" s="7"/>
      <c r="S7" s="7"/>
      <c r="T7" s="7"/>
      <c r="AB7" s="1"/>
      <c r="AC7" s="1"/>
      <c r="AD7" s="1"/>
    </row>
    <row r="8" spans="1:33" ht="11.25" customHeight="1" x14ac:dyDescent="0.2">
      <c r="A8" s="6"/>
      <c r="C8" s="7"/>
      <c r="D8" s="7"/>
      <c r="E8" s="7"/>
      <c r="F8" s="7"/>
      <c r="G8" s="7"/>
      <c r="H8" s="7"/>
      <c r="I8" s="7"/>
      <c r="J8" s="7"/>
      <c r="K8" s="7" t="s">
        <v>19</v>
      </c>
      <c r="L8" s="7"/>
      <c r="M8" s="7"/>
      <c r="N8" s="7"/>
      <c r="O8" s="7"/>
      <c r="P8" s="7"/>
      <c r="Q8" s="7"/>
      <c r="R8" s="7"/>
      <c r="S8" s="7"/>
      <c r="T8" s="7"/>
    </row>
    <row r="9" spans="1:33" ht="11.25" customHeight="1" x14ac:dyDescent="0.2">
      <c r="A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33" ht="11.25" customHeight="1" x14ac:dyDescent="0.2">
      <c r="A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33" ht="15.95" customHeight="1" x14ac:dyDescent="0.2">
      <c r="C11" s="14" t="s">
        <v>5</v>
      </c>
      <c r="D11" s="15"/>
      <c r="E11" s="15"/>
      <c r="F11" s="15"/>
      <c r="G11" s="15"/>
      <c r="H11" s="15"/>
      <c r="I11" s="16"/>
      <c r="K11" s="14" t="s">
        <v>8</v>
      </c>
      <c r="L11" s="15"/>
      <c r="M11" s="15"/>
      <c r="N11" s="15"/>
      <c r="O11" s="15"/>
      <c r="P11" s="15"/>
      <c r="Q11" s="16"/>
      <c r="S11" s="14" t="s">
        <v>11</v>
      </c>
      <c r="T11" s="15"/>
      <c r="U11" s="15"/>
      <c r="V11" s="15"/>
      <c r="W11" s="15"/>
      <c r="X11" s="15"/>
      <c r="Y11" s="16"/>
      <c r="AA11" s="14" t="s">
        <v>13</v>
      </c>
      <c r="AB11" s="15"/>
      <c r="AC11" s="15"/>
      <c r="AD11" s="15"/>
      <c r="AE11" s="15"/>
      <c r="AF11" s="15"/>
      <c r="AG11" s="16"/>
    </row>
    <row r="12" spans="1:33" ht="15.95" customHeight="1" x14ac:dyDescent="0.2">
      <c r="B12" s="8"/>
      <c r="C12" s="9" t="s">
        <v>0</v>
      </c>
      <c r="D12" s="9" t="s">
        <v>1</v>
      </c>
      <c r="E12" s="9" t="s">
        <v>2</v>
      </c>
      <c r="F12" s="9" t="s">
        <v>3</v>
      </c>
      <c r="G12" s="9" t="s">
        <v>2</v>
      </c>
      <c r="H12" s="9" t="s">
        <v>4</v>
      </c>
      <c r="I12" s="9" t="s">
        <v>0</v>
      </c>
      <c r="K12" s="9" t="s">
        <v>0</v>
      </c>
      <c r="L12" s="9" t="s">
        <v>1</v>
      </c>
      <c r="M12" s="9" t="s">
        <v>2</v>
      </c>
      <c r="N12" s="9" t="s">
        <v>3</v>
      </c>
      <c r="O12" s="9" t="s">
        <v>2</v>
      </c>
      <c r="P12" s="9" t="s">
        <v>4</v>
      </c>
      <c r="Q12" s="9" t="s">
        <v>0</v>
      </c>
      <c r="S12" s="9" t="s">
        <v>0</v>
      </c>
      <c r="T12" s="9" t="s">
        <v>1</v>
      </c>
      <c r="U12" s="9" t="s">
        <v>2</v>
      </c>
      <c r="V12" s="9" t="s">
        <v>3</v>
      </c>
      <c r="W12" s="9" t="s">
        <v>2</v>
      </c>
      <c r="X12" s="9" t="s">
        <v>4</v>
      </c>
      <c r="Y12" s="9" t="s">
        <v>0</v>
      </c>
      <c r="AA12" s="9" t="s">
        <v>0</v>
      </c>
      <c r="AB12" s="9" t="s">
        <v>1</v>
      </c>
      <c r="AC12" s="9" t="s">
        <v>2</v>
      </c>
      <c r="AD12" s="9" t="s">
        <v>3</v>
      </c>
      <c r="AE12" s="9" t="s">
        <v>2</v>
      </c>
      <c r="AF12" s="9" t="s">
        <v>4</v>
      </c>
      <c r="AG12" s="9" t="s">
        <v>0</v>
      </c>
    </row>
    <row r="13" spans="1:33" ht="15.95" customHeight="1" x14ac:dyDescent="0.2">
      <c r="C13" s="10" t="str">
        <f>IF(AND(YEAR(JanSun1)=$A$6,MONTH(JanSun1)=1),JanSun1, "")</f>
        <v/>
      </c>
      <c r="D13" s="10" t="str">
        <f>IF(AND(YEAR(JanSun1+1)=$A$6,MONTH(JanSun1+1)=1),JanSun1+1, "")</f>
        <v/>
      </c>
      <c r="E13" s="10" t="str">
        <f>IF(AND(YEAR(JanSun1+2)=$A$6,MONTH(JanSun1+2)=1),JanSun1+2, "")</f>
        <v/>
      </c>
      <c r="F13" s="2">
        <f>IF(AND(YEAR(JanSun1+3)=$A$6,MONTH(JanSun1+3)=1),JanSun1+3, "")</f>
        <v>45658</v>
      </c>
      <c r="G13" s="17">
        <f>IF(AND(YEAR(JanSun1+4)=$A$6,MONTH(JanSun1+4)=1),JanSun1+4, "")</f>
        <v>45659</v>
      </c>
      <c r="H13" s="10">
        <f>IF(AND(YEAR(JanSun1+5)=$A$6,MONTH(JanSun1+5)=1),JanSun1+5, "")</f>
        <v>45660</v>
      </c>
      <c r="I13" s="10">
        <f>IF(AND(YEAR(JanSun1+6)=$A$6,MONTH(JanSun1+6)=1),JanSun1+6, "")</f>
        <v>45661</v>
      </c>
      <c r="K13" s="10" t="str">
        <f>IF(AND(YEAR(AprSun1)=$A$6,MONTH(AprSun1)=4),AprSun1, "")</f>
        <v/>
      </c>
      <c r="L13" s="10" t="str">
        <f>IF(AND(YEAR(AprSun1+1)=$A$6,MONTH(AprSun1+1)=4),AprSun1+1, "")</f>
        <v/>
      </c>
      <c r="M13" s="10">
        <f>IF(AND(YEAR(AprSun1+2)=$A$6,MONTH(AprSun1+2)=4),AprSun1+2, "")</f>
        <v>45748</v>
      </c>
      <c r="N13" s="10">
        <f>IF(AND(YEAR(AprSun1+3)=$A$6,MONTH(AprSun1+3)=4),AprSun1+3, "")</f>
        <v>45749</v>
      </c>
      <c r="O13" s="10">
        <f>IF(AND(YEAR(AprSun1+4)=$A$6,MONTH(AprSun1+4)=4),AprSun1+4, "")</f>
        <v>45750</v>
      </c>
      <c r="P13" s="10">
        <f>IF(AND(YEAR(AprSun1+5)=$A$6,MONTH(AprSun1+5)=4),AprSun1+5, "")</f>
        <v>45751</v>
      </c>
      <c r="Q13" s="10">
        <f>IF(AND(YEAR(AprSun1+6)=$A$6,MONTH(AprSun1+6)=4),AprSun1+6, "")</f>
        <v>45752</v>
      </c>
      <c r="S13" s="10" t="str">
        <f>IF(AND(YEAR(JulSun1)=$A$6,MONTH(JulSun1)=7),JulSun1, "")</f>
        <v/>
      </c>
      <c r="T13" s="10" t="str">
        <f>IF(AND(YEAR(JulSun1+1)=$A$6,MONTH(JulSun1+1)=7),JulSun1+1, "")</f>
        <v/>
      </c>
      <c r="U13" s="10">
        <f>IF(AND(YEAR(JulSun1+2)=$A$6,MONTH(JulSun1+2)=7),JulSun1+2, "")</f>
        <v>45839</v>
      </c>
      <c r="V13" s="10">
        <f>IF(AND(YEAR(JulSun1+3)=$A$6,MONTH(JulSun1+3)=7),JulSun1+3, "")</f>
        <v>45840</v>
      </c>
      <c r="W13" s="10">
        <f>IF(AND(YEAR(JulSun1+4)=$A$6,MONTH(JulSun1+4)=7),JulSun1+4, "")</f>
        <v>45841</v>
      </c>
      <c r="X13" s="2">
        <f>IF(AND(YEAR(JulSun1+5)=$A$6,MONTH(JulSun1+5)=7),JulSun1+5, "")</f>
        <v>45842</v>
      </c>
      <c r="Y13" s="17">
        <f>IF(AND(YEAR(JulSun1+6)=$A$6,MONTH(JulSun1+6)=7),JulSun1+6, "")</f>
        <v>45843</v>
      </c>
      <c r="AA13" s="10" t="str">
        <f>IF(AND(YEAR(OctSun1)=$A$6,MONTH(OctSun1)=10),OctSun1, "")</f>
        <v/>
      </c>
      <c r="AB13" s="10" t="str">
        <f>IF(AND(YEAR(OctSun1+1)=$A$6,MONTH(OctSun1+1)=10),OctSun1+1, "")</f>
        <v/>
      </c>
      <c r="AC13" s="10" t="str">
        <f>IF(AND(YEAR(OctSun1+2)=$A$6,MONTH(OctSun1+2)=10),OctSun1+2, "")</f>
        <v/>
      </c>
      <c r="AD13" s="10">
        <f>IF(AND(YEAR(OctSun1+3)=$A$6,MONTH(OctSun1+3)=10),OctSun1+3, "")</f>
        <v>45931</v>
      </c>
      <c r="AE13" s="10">
        <f>IF(AND(YEAR(OctSun1+4)=$A$6,MONTH(OctSun1+4)=10),OctSun1+4, "")</f>
        <v>45932</v>
      </c>
      <c r="AF13" s="10">
        <f>IF(AND(YEAR(OctSun1+5)=$A$6,MONTH(OctSun1+5)=10),OctSun1+5, "")</f>
        <v>45933</v>
      </c>
      <c r="AG13" s="10">
        <f>IF(AND(YEAR(OctSun1+6)=$A$6,MONTH(OctSun1+6)=10),OctSun1+6, "")</f>
        <v>45934</v>
      </c>
    </row>
    <row r="14" spans="1:33" ht="15.95" customHeight="1" x14ac:dyDescent="0.2">
      <c r="C14" s="10">
        <f>IF(AND(YEAR(JanSun1+7)=$A$6,MONTH(JanSun1+7)=1),JanSun1+7, "")</f>
        <v>45662</v>
      </c>
      <c r="D14" s="10">
        <f>IF(AND(YEAR(JanSun1+8)=$A$6,MONTH(JanSun1+8)=1),JanSun1+8, "")</f>
        <v>45663</v>
      </c>
      <c r="E14" s="10">
        <f>IF(AND(YEAR(JanSun1+9)=$A$6,MONTH(JanSun1+9)=1),JanSun1+9, "")</f>
        <v>45664</v>
      </c>
      <c r="F14" s="10">
        <f>IF(AND(YEAR(JanSun1+10)=$A$6,MONTH(JanSun1+10)=1),JanSun1+10, "")</f>
        <v>45665</v>
      </c>
      <c r="G14" s="10">
        <f>IF(AND(YEAR(JanSun1+11)=$A$6,MONTH(JanSun1+11)=1),JanSun1+11, "")</f>
        <v>45666</v>
      </c>
      <c r="H14" s="10">
        <f>IF(AND(YEAR(JanSun1+12)=$A$6,MONTH(JanSun1+12)=1),JanSun1+12, "")</f>
        <v>45667</v>
      </c>
      <c r="I14" s="10">
        <f>IF(AND(YEAR(JanSun1+13)=$A$6,MONTH(JanSun1+13)=1),JanSun1+13, "")</f>
        <v>45668</v>
      </c>
      <c r="K14" s="17">
        <f>IF(AND(YEAR(AprSun1+7)=$A$6,MONTH(AprSun1+7)=4),AprSun1+7, "")</f>
        <v>45753</v>
      </c>
      <c r="L14" s="10">
        <f>IF(AND(YEAR(AprSun1+8)=$A$6,MONTH(AprSun1+8)=4),AprSun1+8, "")</f>
        <v>45754</v>
      </c>
      <c r="M14" s="10">
        <f>IF(AND(YEAR(AprSun1+9)=$A$6,MONTH(AprSun1+9)=4),AprSun1+9, "")</f>
        <v>45755</v>
      </c>
      <c r="N14" s="10">
        <f>IF(AND(YEAR(AprSun1+10)=$A$6,MONTH(AprSun1+10)=4),AprSun1+10, "")</f>
        <v>45756</v>
      </c>
      <c r="O14" s="10">
        <f>IF(AND(YEAR(AprSun1+11)=$A$6,MONTH(AprSun1+11)=4),AprSun1+11, "")</f>
        <v>45757</v>
      </c>
      <c r="P14" s="10">
        <f>IF(AND(YEAR(AprSun1+12)=$A$6,MONTH(AprSun1+12)=4),AprSun1+12, "")</f>
        <v>45758</v>
      </c>
      <c r="Q14" s="10">
        <f>IF(AND(YEAR(AprSun1+13)=$A$6,MONTH(AprSun1+13)=4),AprSun1+13, "")</f>
        <v>45759</v>
      </c>
      <c r="S14" s="10">
        <f>IF(AND(YEAR(JulSun1+7)=$A$6,MONTH(JulSun1+7)=7),JulSun1+7, "")</f>
        <v>45844</v>
      </c>
      <c r="T14" s="10">
        <f>IF(AND(YEAR(JulSun1+8)=$A$6,MONTH(JulSun1+8)=7),JulSun1+8, "")</f>
        <v>45845</v>
      </c>
      <c r="U14" s="10">
        <f>IF(AND(YEAR(JulSun1+9)=$A$6,MONTH(JulSun1+9)=7),JulSun1+9, "")</f>
        <v>45846</v>
      </c>
      <c r="V14" s="10">
        <f>IF(AND(YEAR(JulSun1+10)=$A$6,MONTH(JulSun1+10)=7),JulSun1+10, "")</f>
        <v>45847</v>
      </c>
      <c r="W14" s="10">
        <f>IF(AND(YEAR(JulSun1+11)=$A$6,MONTH(JulSun1+11)=7),JulSun1+11, "")</f>
        <v>45848</v>
      </c>
      <c r="X14" s="10">
        <f>IF(AND(YEAR(JulSun1+12)=$A$6,MONTH(JulSun1+12)=7),JulSun1+12, "")</f>
        <v>45849</v>
      </c>
      <c r="Y14" s="10">
        <f>IF(AND(YEAR(JulSun1+13)=$A$6,MONTH(JulSun1+13)=7),JulSun1+13, "")</f>
        <v>45850</v>
      </c>
      <c r="AA14" s="10">
        <f>IF(AND(YEAR(OctSun1+7)=$A$6,MONTH(OctSun1+7)=10),OctSun1+7, "")</f>
        <v>45935</v>
      </c>
      <c r="AB14" s="10">
        <f>IF(AND(YEAR(OctSun1+8)=$A$6,MONTH(OctSun1+8)=10),OctSun1+8, "")</f>
        <v>45936</v>
      </c>
      <c r="AC14" s="10">
        <f>IF(AND(YEAR(OctSun1+9)=$A$6,MONTH(OctSun1+9)=10),OctSun1+9, "")</f>
        <v>45937</v>
      </c>
      <c r="AD14" s="10">
        <f>IF(AND(YEAR(OctSun1+10)=$A$6,MONTH(OctSun1+10)=10),OctSun1+10, "")</f>
        <v>45938</v>
      </c>
      <c r="AE14" s="10">
        <f>IF(AND(YEAR(OctSun1+11)=$A$6,MONTH(OctSun1+11)=10),OctSun1+11, "")</f>
        <v>45939</v>
      </c>
      <c r="AF14" s="10">
        <f>IF(AND(YEAR(OctSun1+12)=$A$6,MONTH(OctSun1+12)=10),OctSun1+12, "")</f>
        <v>45940</v>
      </c>
      <c r="AG14" s="10">
        <f>IF(AND(YEAR(OctSun1+13)=$A$6,MONTH(OctSun1+13)=10),OctSun1+13, "")</f>
        <v>45941</v>
      </c>
    </row>
    <row r="15" spans="1:33" ht="15.95" customHeight="1" x14ac:dyDescent="0.2">
      <c r="C15" s="10">
        <f>IF(AND(YEAR(JanSun1+14)=$A$6,MONTH(JanSun1+14)=1),JanSun1+14, "")</f>
        <v>45669</v>
      </c>
      <c r="D15" s="10">
        <f>IF(AND(YEAR(JanSun1+15)=$A$6,MONTH(JanSun1+15)=1),JanSun1+15, "")</f>
        <v>45670</v>
      </c>
      <c r="E15" s="10">
        <f>IF(AND(YEAR(JanSun1+16)=$A$6,MONTH(JanSun1+16)=1),JanSun1+16, "")</f>
        <v>45671</v>
      </c>
      <c r="F15" s="10">
        <f>IF(AND(YEAR(JanSun1+17)=$A$6,MONTH(JanSun1+17)=1),JanSun1+17, "")</f>
        <v>45672</v>
      </c>
      <c r="G15" s="10">
        <f>IF(AND(YEAR(JanSun1+18)=$A$6,MONTH(JanSun1+18)=1),JanSun1+18, "")</f>
        <v>45673</v>
      </c>
      <c r="H15" s="10">
        <f>IF(AND(YEAR(JanSun1+19)=$A$6,MONTH(JanSun1+19)=1),JanSun1+19, "")</f>
        <v>45674</v>
      </c>
      <c r="I15" s="10">
        <f>IF(AND(YEAR(JanSun1+20)=$A$6,MONTH(JanSun1+20)=1),JanSun1+20, "")</f>
        <v>45675</v>
      </c>
      <c r="K15" s="10">
        <f>IF(AND(YEAR(AprSun1+14)=$A$6,MONTH(AprSun1+14)=4),AprSun1+14, "")</f>
        <v>45760</v>
      </c>
      <c r="L15" s="10">
        <f>IF(AND(YEAR(AprSun1+15)=$A$6,MONTH(AprSun1+15)=4),AprSun1+15, "")</f>
        <v>45761</v>
      </c>
      <c r="M15" s="10">
        <f>IF(AND(YEAR(AprSun1+16)=$A$6,MONTH(AprSun1+16)=4),AprSun1+16, "")</f>
        <v>45762</v>
      </c>
      <c r="N15" s="10">
        <f>IF(AND(YEAR(AprSun1+17)=$A$6,MONTH(AprSun1+17)=4),AprSun1+17, "")</f>
        <v>45763</v>
      </c>
      <c r="O15" s="10">
        <f>IF(AND(YEAR(AprSun1+18)=$A$6,MONTH(AprSun1+18)=4),AprSun1+18, "")</f>
        <v>45764</v>
      </c>
      <c r="P15" s="10">
        <f>IF(AND(YEAR(AprSun1+19)=$A$6,MONTH(AprSun1+19)=4),AprSun1+19, "")</f>
        <v>45765</v>
      </c>
      <c r="Q15" s="10">
        <f>IF(AND(YEAR(AprSun1+20)=$A$6,MONTH(AprSun1+20)=4),AprSun1+20, "")</f>
        <v>45766</v>
      </c>
      <c r="S15" s="10">
        <f>IF(AND(YEAR(JulSun1+14)=$A$6,MONTH(JulSun1+14)=7),JulSun1+14, "")</f>
        <v>45851</v>
      </c>
      <c r="T15" s="10">
        <f>IF(AND(YEAR(JulSun1+15)=$A$6,MONTH(JulSun1+15)=7),JulSun1+15, "")</f>
        <v>45852</v>
      </c>
      <c r="U15" s="10">
        <f>IF(AND(YEAR(JulSun1+16)=$A$6,MONTH(JulSun1+16)=7),JulSun1+16, "")</f>
        <v>45853</v>
      </c>
      <c r="V15" s="10">
        <f>IF(AND(YEAR(JulSun1+17)=$A$6,MONTH(JulSun1+17)=7),JulSun1+17, "")</f>
        <v>45854</v>
      </c>
      <c r="W15" s="10">
        <f>IF(AND(YEAR(JulSun1+18)=$A$6,MONTH(JulSun1+18)=7),JulSun1+18, "")</f>
        <v>45855</v>
      </c>
      <c r="X15" s="10">
        <f>IF(AND(YEAR(JulSun1+19)=$A$6,MONTH(JulSun1+19)=7),JulSun1+19, "")</f>
        <v>45856</v>
      </c>
      <c r="Y15" s="10">
        <f>IF(AND(YEAR(JulSun1+20)=$A$6,MONTH(JulSun1+20)=7),JulSun1+20, "")</f>
        <v>45857</v>
      </c>
      <c r="AA15" s="10">
        <f>IF(AND(YEAR(OctSun1+14)=$A$6,MONTH(OctSun1+14)=10),OctSun1+14, "")</f>
        <v>45942</v>
      </c>
      <c r="AB15" s="10">
        <f>IF(AND(YEAR(OctSun1+15)=$A$6,MONTH(OctSun1+15)=10),OctSun1+15, "")</f>
        <v>45943</v>
      </c>
      <c r="AC15" s="10">
        <f>IF(AND(YEAR(OctSun1+16)=$A$6,MONTH(OctSun1+16)=10),OctSun1+16, "")</f>
        <v>45944</v>
      </c>
      <c r="AD15" s="10">
        <f>IF(AND(YEAR(OctSun1+17)=$A$6,MONTH(OctSun1+17)=10),OctSun1+17, "")</f>
        <v>45945</v>
      </c>
      <c r="AE15" s="10">
        <f>IF(AND(YEAR(OctSun1+18)=$A$6,MONTH(OctSun1+18)=10),OctSun1+18, "")</f>
        <v>45946</v>
      </c>
      <c r="AF15" s="10">
        <f>IF(AND(YEAR(OctSun1+19)=$A$6,MONTH(OctSun1+19)=10),OctSun1+19, "")</f>
        <v>45947</v>
      </c>
      <c r="AG15" s="10">
        <f>IF(AND(YEAR(OctSun1+20)=$A$6,MONTH(OctSun1+20)=10),OctSun1+20, "")</f>
        <v>45948</v>
      </c>
    </row>
    <row r="16" spans="1:33" ht="15.95" customHeight="1" x14ac:dyDescent="0.2">
      <c r="C16" s="10">
        <f>IF(AND(YEAR(JanSun1+21)=$A$6,MONTH(JanSun1+21)=1),JanSun1+21, "")</f>
        <v>45676</v>
      </c>
      <c r="D16" s="10">
        <f>IF(AND(YEAR(JanSun1+22)=$A$6,MONTH(JanSun1+22)=1),JanSun1+22, "")</f>
        <v>45677</v>
      </c>
      <c r="E16" s="10">
        <f>IF(AND(YEAR(JanSun1+23)=$A$6,MONTH(JanSun1+23)=1),JanSun1+23, "")</f>
        <v>45678</v>
      </c>
      <c r="F16" s="10">
        <f>IF(AND(YEAR(JanSun1+24)=$A$6,MONTH(JanSun1+24)=1),JanSun1+24, "")</f>
        <v>45679</v>
      </c>
      <c r="G16" s="10">
        <f>IF(AND(YEAR(JanSun1+25)=$A$6,MONTH(JanSun1+25)=1),JanSun1+25, "")</f>
        <v>45680</v>
      </c>
      <c r="H16" s="10">
        <f>IF(AND(YEAR(JanSun1+26)=$A$6,MONTH(JanSun1+26)=1),JanSun1+26, "")</f>
        <v>45681</v>
      </c>
      <c r="I16" s="10">
        <f>IF(AND(YEAR(JanSun1+27)=$A$6,MONTH(JanSun1+27)=1),JanSun1+27, "")</f>
        <v>45682</v>
      </c>
      <c r="K16" s="2">
        <f>IF(AND(YEAR(AprSun1+21)=$A$6,MONTH(AprSun1+21)=4),AprSun1+21, "")</f>
        <v>45767</v>
      </c>
      <c r="L16" s="10">
        <f>IF(AND(YEAR(AprSun1+22)=$A$6,MONTH(AprSun1+22)=4),AprSun1+22, "")</f>
        <v>45768</v>
      </c>
      <c r="M16" s="10">
        <f>IF(AND(YEAR(AprSun1+23)=$A$6,MONTH(AprSun1+23)=4),AprSun1+23, "")</f>
        <v>45769</v>
      </c>
      <c r="N16" s="10">
        <f>IF(AND(YEAR(AprSun1+24)=$A$6,MONTH(AprSun1+24)=4),AprSun1+24, "")</f>
        <v>45770</v>
      </c>
      <c r="O16" s="10">
        <f>IF(AND(YEAR(AprSun1+25)=$A$6,MONTH(AprSun1+25)=4),AprSun1+25, "")</f>
        <v>45771</v>
      </c>
      <c r="P16" s="10">
        <f>IF(AND(YEAR(AprSun1+26)=$A$6,MONTH(AprSun1+26)=4),AprSun1+26, "")</f>
        <v>45772</v>
      </c>
      <c r="Q16" s="10">
        <f>IF(AND(YEAR(AprSun1+27)=$A$6,MONTH(AprSun1+27)=4),AprSun1+27, "")</f>
        <v>45773</v>
      </c>
      <c r="S16" s="10">
        <f>IF(AND(YEAR(JulSun1+21)=$A$6,MONTH(JulSun1+21)=7),JulSun1+21, "")</f>
        <v>45858</v>
      </c>
      <c r="T16" s="10">
        <f>IF(AND(YEAR(JulSun1+22)=$A$6,MONTH(JulSun1+22)=7),JulSun1+22, "")</f>
        <v>45859</v>
      </c>
      <c r="U16" s="10">
        <f>IF(AND(YEAR(JulSun1+23)=$A$6,MONTH(JulSun1+23)=7),JulSun1+23, "")</f>
        <v>45860</v>
      </c>
      <c r="V16" s="10">
        <f>IF(AND(YEAR(JulSun1+24)=$A$6,MONTH(JulSun1+24)=7),JulSun1+24, "")</f>
        <v>45861</v>
      </c>
      <c r="W16" s="10">
        <f>IF(AND(YEAR(JulSun1+25)=$A$6,MONTH(JulSun1+25)=7),JulSun1+25, "")</f>
        <v>45862</v>
      </c>
      <c r="X16" s="10">
        <f>IF(AND(YEAR(JulSun1+26)=$A$6,MONTH(JulSun1+26)=7),JulSun1+26, "")</f>
        <v>45863</v>
      </c>
      <c r="Y16" s="10">
        <f>IF(AND(YEAR(JulSun1+27)=$A$6,MONTH(JulSun1+27)=7),JulSun1+27, "")</f>
        <v>45864</v>
      </c>
      <c r="AA16" s="10">
        <f>IF(AND(YEAR(OctSun1+21)=$A$6,MONTH(OctSun1+21)=10),OctSun1+21, "")</f>
        <v>45949</v>
      </c>
      <c r="AB16" s="10">
        <f>IF(AND(YEAR(OctSun1+22)=$A$6,MONTH(OctSun1+22)=10),OctSun1+22, "")</f>
        <v>45950</v>
      </c>
      <c r="AC16" s="10">
        <f>IF(AND(YEAR(OctSun1+23)=$A$6,MONTH(OctSun1+23)=10),OctSun1+23, "")</f>
        <v>45951</v>
      </c>
      <c r="AD16" s="10">
        <f>IF(AND(YEAR(OctSun1+24)=$A$6,MONTH(OctSun1+24)=10),OctSun1+24, "")</f>
        <v>45952</v>
      </c>
      <c r="AE16" s="10">
        <f>IF(AND(YEAR(OctSun1+25)=$A$6,MONTH(OctSun1+25)=10),OctSun1+25, "")</f>
        <v>45953</v>
      </c>
      <c r="AF16" s="10">
        <f>IF(AND(YEAR(OctSun1+26)=$A$6,MONTH(OctSun1+26)=10),OctSun1+26, "")</f>
        <v>45954</v>
      </c>
      <c r="AG16" s="10">
        <f>IF(AND(YEAR(OctSun1+27)=$A$6,MONTH(OctSun1+27)=10),OctSun1+27, "")</f>
        <v>45955</v>
      </c>
    </row>
    <row r="17" spans="2:33" ht="13.5" customHeight="1" x14ac:dyDescent="0.2">
      <c r="C17" s="10">
        <f>IF(AND(YEAR(JanSun1+28)=$A$6,MONTH(JanSun1+28)=1),JanSun1+28, "")</f>
        <v>45683</v>
      </c>
      <c r="D17" s="10">
        <f>IF(AND(YEAR(JanSun1+29)=$A$6,MONTH(JanSun1+29)=1),JanSun1+29, "")</f>
        <v>45684</v>
      </c>
      <c r="E17" s="10">
        <f>IF(AND(YEAR(JanSun1+30)=$A$6,MONTH(JanSun1+30)=1),JanSun1+30, "")</f>
        <v>45685</v>
      </c>
      <c r="F17" s="10">
        <f>IF(AND(YEAR(JanSun1+31)=$A$6,MONTH(JanSun1+31)=1),JanSun1+31, "")</f>
        <v>45686</v>
      </c>
      <c r="G17" s="10">
        <f>IF(AND(YEAR(JanSun1+32)=$A$6,MONTH(JanSun1+32)=1),JanSun1+32, "")</f>
        <v>45687</v>
      </c>
      <c r="H17" s="10">
        <f>IF(AND(YEAR(JanSun1+33)=$A$6,MONTH(JanSun1+33)=1),JanSun1+33, "")</f>
        <v>45688</v>
      </c>
      <c r="I17" s="10" t="str">
        <f>IF(AND(YEAR(JanSun1+34)=$A$6,MONTH(JanSun1+34)=1),JanSun1+34, "")</f>
        <v/>
      </c>
      <c r="K17" s="10">
        <f>IF(AND(YEAR(AprSun1+28)=$A$6,MONTH(AprSun1+28)=4),AprSun1+28, "")</f>
        <v>45774</v>
      </c>
      <c r="L17" s="10">
        <f>IF(AND(YEAR(AprSun1+29)=$A$6,MONTH(AprSun1+29)=4),AprSun1+29, "")</f>
        <v>45775</v>
      </c>
      <c r="M17" s="10">
        <f>IF(AND(YEAR(AprSun1+30)=$A$6,MONTH(AprSun1+30)=4),AprSun1+30, "")</f>
        <v>45776</v>
      </c>
      <c r="N17" s="10">
        <f>IF(AND(YEAR(AprSun1+31)=$A$6,MONTH(AprSun1+31)=4),AprSun1+31, "")</f>
        <v>45777</v>
      </c>
      <c r="O17" s="10" t="str">
        <f>IF(AND(YEAR(AprSun1+32)=$A$6,MONTH(AprSun1+32)=4),AprSun1+32, "")</f>
        <v/>
      </c>
      <c r="P17" s="10" t="str">
        <f>IF(AND(YEAR(AprSun1+33)=$A$6,MONTH(AprSun1+33)=4),AprSun1+33, "")</f>
        <v/>
      </c>
      <c r="Q17" s="10" t="str">
        <f>IF(AND(YEAR(AprSun1+34)=$A$6,MONTH(AprSun1+34)=4),AprSun1+34, "")</f>
        <v/>
      </c>
      <c r="S17" s="10">
        <f>IF(AND(YEAR(JulSun1+28)=$A$6,MONTH(JulSun1+28)=7),JulSun1+28, "")</f>
        <v>45865</v>
      </c>
      <c r="T17" s="10">
        <f>IF(AND(YEAR(JulSun1+29)=$A$6,MONTH(JulSun1+29)=7),JulSun1+29, "")</f>
        <v>45866</v>
      </c>
      <c r="U17" s="10">
        <f>IF(AND(YEAR(JulSun1+30)=$A$6,MONTH(JulSun1+30)=7),JulSun1+30, "")</f>
        <v>45867</v>
      </c>
      <c r="V17" s="10">
        <f>IF(AND(YEAR(JulSun1+31)=$A$6,MONTH(JulSun1+31)=7),JulSun1+31, "")</f>
        <v>45868</v>
      </c>
      <c r="W17" s="10">
        <f>IF(AND(YEAR(JulSun1+32)=$A$6,MONTH(JulSun1+32)=7),JulSun1+32, "")</f>
        <v>45869</v>
      </c>
      <c r="X17" s="10" t="str">
        <f>IF(AND(YEAR(JulSun1+33)=$A$6,MONTH(JulSun1+33)=7),JulSun1+33, "")</f>
        <v/>
      </c>
      <c r="Y17" s="10" t="str">
        <f>IF(AND(YEAR(JulSun1+34)=$A$6,MONTH(JulSun1+34)=7),JulSun1+34, "")</f>
        <v/>
      </c>
      <c r="AA17" s="10">
        <f>IF(AND(YEAR(OctSun1+28)=$A$6,MONTH(OctSun1+28)=10),OctSun1+28, "")</f>
        <v>45956</v>
      </c>
      <c r="AB17" s="10">
        <f>IF(AND(YEAR(OctSun1+29)=$A$6,MONTH(OctSun1+29)=10),OctSun1+29, "")</f>
        <v>45957</v>
      </c>
      <c r="AC17" s="10">
        <f>IF(AND(YEAR(OctSun1+30)=$A$6,MONTH(OctSun1+30)=10),OctSun1+30, "")</f>
        <v>45958</v>
      </c>
      <c r="AD17" s="10">
        <f>IF(AND(YEAR(OctSun1+31)=$A$6,MONTH(OctSun1+31)=10),OctSun1+31, "")</f>
        <v>45959</v>
      </c>
      <c r="AE17" s="10">
        <f>IF(AND(YEAR(OctSun1+32)=$A$6,MONTH(OctSun1+32)=10),OctSun1+32, "")</f>
        <v>45960</v>
      </c>
      <c r="AF17" s="10">
        <f>IF(AND(YEAR(OctSun1+33)=$A$6,MONTH(OctSun1+33)=10),OctSun1+33, "")</f>
        <v>45961</v>
      </c>
      <c r="AG17" s="10" t="str">
        <f>IF(AND(YEAR(OctSun1+34)=$A$6,MONTH(OctSun1+34)=10),OctSun1+34, "")</f>
        <v/>
      </c>
    </row>
    <row r="18" spans="2:33" ht="15.95" customHeight="1" x14ac:dyDescent="0.2">
      <c r="C18" s="11"/>
      <c r="D18" s="11"/>
      <c r="E18" s="11"/>
      <c r="F18" s="11"/>
      <c r="G18" s="11"/>
      <c r="H18" s="11"/>
      <c r="I18" s="11"/>
      <c r="K18" s="11"/>
      <c r="L18" s="11"/>
      <c r="M18" s="11"/>
      <c r="N18" s="11"/>
      <c r="O18" s="11"/>
      <c r="P18" s="11"/>
      <c r="Q18" s="11"/>
      <c r="S18" s="11"/>
      <c r="T18" s="11"/>
      <c r="U18" s="11"/>
      <c r="V18" s="11"/>
      <c r="W18" s="11"/>
      <c r="X18" s="11"/>
      <c r="Y18" s="11"/>
      <c r="AA18" s="11"/>
      <c r="AB18" s="11"/>
      <c r="AC18" s="11"/>
      <c r="AD18" s="11"/>
      <c r="AE18" s="11"/>
      <c r="AF18" s="11"/>
      <c r="AG18" s="11"/>
    </row>
    <row r="19" spans="2:33" ht="15.95" customHeight="1" x14ac:dyDescent="0.2">
      <c r="C19" s="14" t="s">
        <v>6</v>
      </c>
      <c r="D19" s="15"/>
      <c r="E19" s="15"/>
      <c r="F19" s="15"/>
      <c r="G19" s="15"/>
      <c r="H19" s="15"/>
      <c r="I19" s="16"/>
      <c r="K19" s="14" t="s">
        <v>9</v>
      </c>
      <c r="L19" s="15"/>
      <c r="M19" s="15"/>
      <c r="N19" s="15"/>
      <c r="O19" s="15"/>
      <c r="P19" s="15"/>
      <c r="Q19" s="16"/>
      <c r="S19" s="14" t="s">
        <v>14</v>
      </c>
      <c r="T19" s="15"/>
      <c r="U19" s="15"/>
      <c r="V19" s="15"/>
      <c r="W19" s="15"/>
      <c r="X19" s="15"/>
      <c r="Y19" s="16"/>
      <c r="AA19" s="14" t="s">
        <v>15</v>
      </c>
      <c r="AB19" s="15"/>
      <c r="AC19" s="15"/>
      <c r="AD19" s="15"/>
      <c r="AE19" s="15"/>
      <c r="AF19" s="15"/>
      <c r="AG19" s="16"/>
    </row>
    <row r="20" spans="2:33" ht="15.95" customHeight="1" x14ac:dyDescent="0.2">
      <c r="B20" s="8"/>
      <c r="C20" s="9" t="s">
        <v>0</v>
      </c>
      <c r="D20" s="9" t="s">
        <v>1</v>
      </c>
      <c r="E20" s="9" t="s">
        <v>2</v>
      </c>
      <c r="F20" s="9" t="s">
        <v>3</v>
      </c>
      <c r="G20" s="9" t="s">
        <v>2</v>
      </c>
      <c r="H20" s="9" t="s">
        <v>4</v>
      </c>
      <c r="I20" s="9" t="s">
        <v>0</v>
      </c>
      <c r="K20" s="9" t="s">
        <v>0</v>
      </c>
      <c r="L20" s="9" t="s">
        <v>1</v>
      </c>
      <c r="M20" s="9" t="s">
        <v>2</v>
      </c>
      <c r="N20" s="9" t="s">
        <v>3</v>
      </c>
      <c r="O20" s="9" t="s">
        <v>2</v>
      </c>
      <c r="P20" s="9" t="s">
        <v>4</v>
      </c>
      <c r="Q20" s="9" t="s">
        <v>0</v>
      </c>
      <c r="S20" s="9" t="s">
        <v>0</v>
      </c>
      <c r="T20" s="9" t="s">
        <v>1</v>
      </c>
      <c r="U20" s="9" t="s">
        <v>2</v>
      </c>
      <c r="V20" s="9" t="s">
        <v>3</v>
      </c>
      <c r="W20" s="9" t="s">
        <v>2</v>
      </c>
      <c r="X20" s="9" t="s">
        <v>4</v>
      </c>
      <c r="Y20" s="9" t="s">
        <v>0</v>
      </c>
      <c r="AA20" s="9" t="s">
        <v>0</v>
      </c>
      <c r="AB20" s="9" t="s">
        <v>1</v>
      </c>
      <c r="AC20" s="9" t="s">
        <v>2</v>
      </c>
      <c r="AD20" s="9" t="s">
        <v>3</v>
      </c>
      <c r="AE20" s="9" t="s">
        <v>2</v>
      </c>
      <c r="AF20" s="9" t="s">
        <v>4</v>
      </c>
      <c r="AG20" s="9" t="s">
        <v>0</v>
      </c>
    </row>
    <row r="21" spans="2:33" ht="15.95" customHeight="1" x14ac:dyDescent="0.2">
      <c r="C21" s="10" t="str">
        <f>IF(AND(YEAR(FebSun1)=$A$6,MONTH(FebSun1)=2),FebSun1, "")</f>
        <v/>
      </c>
      <c r="D21" s="10" t="str">
        <f>IF(AND(YEAR(FebSun1+1)=$A$6,MONTH(FebSun1+1)=2),FebSun1+1, "")</f>
        <v/>
      </c>
      <c r="E21" s="10" t="str">
        <f>IF(AND(YEAR(FebSun1+2)=$A$6,MONTH(FebSun1+2)=2),FebSun1+2, "")</f>
        <v/>
      </c>
      <c r="F21" s="10" t="str">
        <f>IF(AND(YEAR(FebSun1+3)=$A$6,MONTH(FebSun1+3)=2),FebSun1+3, "")</f>
        <v/>
      </c>
      <c r="G21" s="10" t="str">
        <f>IF(AND(YEAR(FebSun1+4)=$A$6,MONTH(FebSun1+4)=2),FebSun1+4, "")</f>
        <v/>
      </c>
      <c r="H21" s="10" t="str">
        <f>IF(AND(YEAR(FebSun1+5)=$A$6,MONTH(FebSun1+5)=2),FebSun1+5, "")</f>
        <v/>
      </c>
      <c r="I21" s="10">
        <f>IF(AND(YEAR(FebSun1+6)=$A$6,MONTH(FebSun1+6)=2),FebSun1+6, "")</f>
        <v>45689</v>
      </c>
      <c r="K21" s="10" t="str">
        <f>IF(AND(YEAR(MaySun1)=$A$6,MONTH(MaySun1)=5),MaySun1, "")</f>
        <v/>
      </c>
      <c r="L21" s="10" t="str">
        <f>IF(AND(YEAR(MaySun1+1)=$A$6,MONTH(MaySun1+1)=5),MaySun1+1, "")</f>
        <v/>
      </c>
      <c r="M21" s="10" t="str">
        <f>IF(AND(YEAR(MaySun1+2)=$A$6,MONTH(MaySun1+2)=5),MaySun1+2, "")</f>
        <v/>
      </c>
      <c r="N21" s="10" t="str">
        <f>IF(AND(YEAR(MaySun1+3)=$A$6,MONTH(MaySun1+3)=5),MaySun1+3, "")</f>
        <v/>
      </c>
      <c r="O21" s="10">
        <f>IF(AND(YEAR(MaySun1+4)=$A$6,MONTH(MaySun1+4)=5),MaySun1+4, "")</f>
        <v>45778</v>
      </c>
      <c r="P21" s="10">
        <f>IF(AND(YEAR(MaySun1+5)=$A$6,MONTH(MaySun1+5)=5),MaySun1+5, "")</f>
        <v>45779</v>
      </c>
      <c r="Q21" s="10">
        <f>IF(AND(YEAR(MaySun1+6)=$A$6,MONTH(MaySun1+6)=5),MaySun1+6, "")</f>
        <v>45780</v>
      </c>
      <c r="S21" s="10" t="str">
        <f>IF(AND(YEAR(AugSun1)=$A$6,MONTH(AugSun1)=8),AugSun1, "")</f>
        <v/>
      </c>
      <c r="T21" s="10" t="str">
        <f>IF(AND(YEAR(AugSun1+1)=$A$6,MONTH(AugSun1+1)=8),AugSun1+1, "")</f>
        <v/>
      </c>
      <c r="U21" s="10" t="str">
        <f>IF(AND(YEAR(AugSun1+2)=$A$6,MONTH(AugSun1+2)=8),AugSun1+2, "")</f>
        <v/>
      </c>
      <c r="V21" s="10" t="str">
        <f>IF(AND(YEAR(AugSun1+3)=$A$6,MONTH(AugSun1+3)=8),AugSun1+3, "")</f>
        <v/>
      </c>
      <c r="W21" s="10" t="str">
        <f>IF(AND(YEAR(AugSun1+4)=$A$6,MONTH(AugSun1+4)=8),AugSun1+4, "")</f>
        <v/>
      </c>
      <c r="X21" s="10">
        <f>IF(AND(YEAR(AugSun1+5)=$A$6,MONTH(AugSun1+5)=8),AugSun1+5, "")</f>
        <v>45870</v>
      </c>
      <c r="Y21" s="10">
        <f>IF(AND(YEAR(AugSun1+6)=$A$6,MONTH(AugSun1+6)=8),AugSun1+6, "")</f>
        <v>45871</v>
      </c>
      <c r="AA21" s="10" t="str">
        <f>IF(AND(YEAR(NovSun1)=$A$6,MONTH(NovSun1)=11),NovSun1, "")</f>
        <v/>
      </c>
      <c r="AB21" s="10" t="str">
        <f>IF(AND(YEAR(NovSun1+1)=$A$6,MONTH(NovSun1+1)=11),NovSun1+1, "")</f>
        <v/>
      </c>
      <c r="AC21" s="10" t="str">
        <f>IF(AND(YEAR(NovSun1+2)=$A$6,MONTH(NovSun1+2)=11),NovSun1+2, "")</f>
        <v/>
      </c>
      <c r="AD21" s="10" t="str">
        <f>IF(AND(YEAR(NovSun1+3)=$A$6,MONTH(NovSun1+3)=11),NovSun1+3, "")</f>
        <v/>
      </c>
      <c r="AE21" s="10" t="str">
        <f>IF(AND(YEAR(NovSun1+4)=$A$6,MONTH(NovSun1+4)=11),NovSun1+4, "")</f>
        <v/>
      </c>
      <c r="AF21" s="10" t="str">
        <f>IF(AND(YEAR(NovSun1+5)=$A$6,MONTH(NovSun1+5)=11),NovSun1+5, "")</f>
        <v/>
      </c>
      <c r="AG21" s="10">
        <f>IF(AND(YEAR(NovSun1+6)=$A$6,MONTH(NovSun1+6)=11),NovSun1+6, "")</f>
        <v>45962</v>
      </c>
    </row>
    <row r="22" spans="2:33" ht="15.95" customHeight="1" x14ac:dyDescent="0.2">
      <c r="C22" s="10">
        <f>IF(AND(YEAR(FebSun1+7)=$A$6,MONTH(FebSun1+7)=2),FebSun1+7, "")</f>
        <v>45690</v>
      </c>
      <c r="D22" s="10">
        <f>IF(AND(YEAR(FebSun1+8)=$A$6,MONTH(FebSun1+8)=2),FebSun1+8, "")</f>
        <v>45691</v>
      </c>
      <c r="E22" s="10">
        <f>IF(AND(YEAR(FebSun1+9)=$A$6,MONTH(FebSun1+9)=2),FebSun1+9, "")</f>
        <v>45692</v>
      </c>
      <c r="F22" s="10">
        <f>IF(AND(YEAR(FebSun1+10)=$A$6,MONTH(FebSun1+10)=2),FebSun1+10, "")</f>
        <v>45693</v>
      </c>
      <c r="G22" s="10">
        <f>IF(AND(YEAR(FebSun1+11)=$A$6,MONTH(FebSun1+11)=2),FebSun1+11, "")</f>
        <v>45694</v>
      </c>
      <c r="H22" s="10">
        <f>IF(AND(YEAR(FebSun1+12)=$A$6,MONTH(FebSun1+12)=2),FebSun1+12, "")</f>
        <v>45695</v>
      </c>
      <c r="I22" s="10">
        <f>IF(AND(YEAR(FebSun1+13)=$A$6,MONTH(FebSun1+13)=2),FebSun1+13, "")</f>
        <v>45696</v>
      </c>
      <c r="K22" s="10">
        <f>IF(AND(YEAR(MaySun1+7)=$A$6,MONTH(MaySun1+7)=5),MaySun1+7, "")</f>
        <v>45781</v>
      </c>
      <c r="L22" s="10">
        <f>IF(AND(YEAR(MaySun1+8)=$A$6,MONTH(MaySun1+8)=5),MaySun1+8, "")</f>
        <v>45782</v>
      </c>
      <c r="M22" s="10">
        <f>IF(AND(YEAR(MaySun1+9)=$A$6,MONTH(MaySun1+9)=5),MaySun1+9, "")</f>
        <v>45783</v>
      </c>
      <c r="N22" s="10">
        <f>IF(AND(YEAR(MaySun1+10)=$A$6,MONTH(MaySun1+10)=5),MaySun1+10, "")</f>
        <v>45784</v>
      </c>
      <c r="O22" s="10">
        <f>IF(AND(YEAR(MaySun1+11)=$A$6,MONTH(MaySun1+11)=5),MaySun1+11, "")</f>
        <v>45785</v>
      </c>
      <c r="P22" s="10">
        <f>IF(AND(YEAR(MaySun1+12)=$A$6,MONTH(MaySun1+12)=5),MaySun1+12, "")</f>
        <v>45786</v>
      </c>
      <c r="Q22" s="10">
        <f>IF(AND(YEAR(MaySun1+13)=$A$6,MONTH(MaySun1+13)=5),MaySun1+13, "")</f>
        <v>45787</v>
      </c>
      <c r="S22" s="10">
        <f>IF(AND(YEAR(AugSun1+7)=$A$6,MONTH(AugSun1+7)=8),AugSun1+7, "")</f>
        <v>45872</v>
      </c>
      <c r="T22" s="10">
        <f>IF(AND(YEAR(AugSun1+8)=$A$6,MONTH(AugSun1+8)=8),AugSun1+8, "")</f>
        <v>45873</v>
      </c>
      <c r="U22" s="10">
        <f>IF(AND(YEAR(AugSun1+9)=$A$6,MONTH(AugSun1+9)=8),AugSun1+9, "")</f>
        <v>45874</v>
      </c>
      <c r="V22" s="10">
        <f>IF(AND(YEAR(AugSun1+10)=$A$6,MONTH(AugSun1+10)=8),AugSun1+10, "")</f>
        <v>45875</v>
      </c>
      <c r="W22" s="10">
        <f>IF(AND(YEAR(AugSun1+11)=$A$6,MONTH(AugSun1+11)=8),AugSun1+11, "")</f>
        <v>45876</v>
      </c>
      <c r="X22" s="10">
        <f>IF(AND(YEAR(AugSun1+12)=$A$6,MONTH(AugSun1+12)=8),AugSun1+12, "")</f>
        <v>45877</v>
      </c>
      <c r="Y22" s="10">
        <f>IF(AND(YEAR(AugSun1+13)=$A$6,MONTH(AugSun1+13)=8),AugSun1+13, "")</f>
        <v>45878</v>
      </c>
      <c r="AA22" s="10">
        <f>IF(AND(YEAR(NovSun1+7)=$A$6,MONTH(NovSun1+7)=11),NovSun1+7, "")</f>
        <v>45963</v>
      </c>
      <c r="AB22" s="10">
        <f>IF(AND(YEAR(NovSun1+8)=$A$6,MONTH(NovSun1+8)=11),NovSun1+8, "")</f>
        <v>45964</v>
      </c>
      <c r="AC22" s="10">
        <f>IF(AND(YEAR(NovSun1+9)=$A$6,MONTH(NovSun1+9)=11),NovSun1+9, "")</f>
        <v>45965</v>
      </c>
      <c r="AD22" s="10">
        <f>IF(AND(YEAR(NovSun1+10)=$A$6,MONTH(NovSun1+10)=11),NovSun1+10, "")</f>
        <v>45966</v>
      </c>
      <c r="AE22" s="10">
        <f>IF(AND(YEAR(NovSun1+11)=$A$6,MONTH(NovSun1+11)=11),NovSun1+11, "")</f>
        <v>45967</v>
      </c>
      <c r="AF22" s="10">
        <f>IF(AND(YEAR(NovSun1+12)=$A$6,MONTH(NovSun1+12)=11),NovSun1+12, "")</f>
        <v>45968</v>
      </c>
      <c r="AG22" s="10">
        <f>IF(AND(YEAR(NovSun1+13)=$A$6,MONTH(NovSun1+13)=11),NovSun1+13, "")</f>
        <v>45969</v>
      </c>
    </row>
    <row r="23" spans="2:33" ht="15.95" customHeight="1" x14ac:dyDescent="0.2">
      <c r="C23" s="10">
        <f>IF(AND(YEAR(FebSun1+14)=$A$6,MONTH(FebSun1+14)=2),FebSun1+14, "")</f>
        <v>45697</v>
      </c>
      <c r="D23" s="10">
        <f>IF(AND(YEAR(FebSun1+15)=$A$6,MONTH(FebSun1+15)=2),FebSun1+15, "")</f>
        <v>45698</v>
      </c>
      <c r="E23" s="10">
        <f>IF(AND(YEAR(FebSun1+16)=$A$6,MONTH(FebSun1+16)=2),FebSun1+16, "")</f>
        <v>45699</v>
      </c>
      <c r="F23" s="10">
        <f>IF(AND(YEAR(FebSun1+17)=$A$6,MONTH(FebSun1+17)=2),FebSun1+17, "")</f>
        <v>45700</v>
      </c>
      <c r="G23" s="10">
        <f>IF(AND(YEAR(FebSun1+18)=$A$6,MONTH(FebSun1+18)=2),FebSun1+18, "")</f>
        <v>45701</v>
      </c>
      <c r="H23" s="10">
        <f>IF(AND(YEAR(FebSun1+19)=$A$6,MONTH(FebSun1+19)=2),FebSun1+19, "")</f>
        <v>45702</v>
      </c>
      <c r="I23" s="10">
        <f>IF(AND(YEAR(FebSun1+20)=$A$6,MONTH(FebSun1+20)=2),FebSun1+20, "")</f>
        <v>45703</v>
      </c>
      <c r="K23" s="10">
        <f>IF(AND(YEAR(MaySun1+14)=$A$6,MONTH(MaySun1+14)=5),MaySun1+14, "")</f>
        <v>45788</v>
      </c>
      <c r="L23" s="10">
        <f>IF(AND(YEAR(MaySun1+15)=$A$6,MONTH(MaySun1+15)=5),MaySun1+15, "")</f>
        <v>45789</v>
      </c>
      <c r="M23" s="10">
        <f>IF(AND(YEAR(MaySun1+16)=$A$6,MONTH(MaySun1+16)=5),MaySun1+16, "")</f>
        <v>45790</v>
      </c>
      <c r="N23" s="10">
        <f>IF(AND(YEAR(MaySun1+17)=$A$6,MONTH(MaySun1+17)=5),MaySun1+17, "")</f>
        <v>45791</v>
      </c>
      <c r="O23" s="10">
        <f>IF(AND(YEAR(MaySun1+18)=$A$6,MONTH(MaySun1+18)=5),MaySun1+18, "")</f>
        <v>45792</v>
      </c>
      <c r="P23" s="10">
        <f>IF(AND(YEAR(MaySun1+19)=$A$6,MONTH(MaySun1+19)=5),MaySun1+19, "")</f>
        <v>45793</v>
      </c>
      <c r="Q23" s="10">
        <f>IF(AND(YEAR(MaySun1+20)=$A$6,MONTH(MaySun1+20)=5),MaySun1+20, "")</f>
        <v>45794</v>
      </c>
      <c r="S23" s="10">
        <f>IF(AND(YEAR(AugSun1+14)=$A$6,MONTH(AugSun1+14)=8),AugSun1+14, "")</f>
        <v>45879</v>
      </c>
      <c r="T23" s="10">
        <f>IF(AND(YEAR(AugSun1+15)=$A$6,MONTH(AugSun1+15)=8),AugSun1+15, "")</f>
        <v>45880</v>
      </c>
      <c r="U23" s="10">
        <f>IF(AND(YEAR(AugSun1+16)=$A$6,MONTH(AugSun1+16)=8),AugSun1+16, "")</f>
        <v>45881</v>
      </c>
      <c r="V23" s="10">
        <f>IF(AND(YEAR(AugSun1+17)=$A$6,MONTH(AugSun1+17)=8),AugSun1+17, "")</f>
        <v>45882</v>
      </c>
      <c r="W23" s="10">
        <f>IF(AND(YEAR(AugSun1+18)=$A$6,MONTH(AugSun1+18)=8),AugSun1+18, "")</f>
        <v>45883</v>
      </c>
      <c r="X23" s="10">
        <f>IF(AND(YEAR(AugSun1+19)=$A$6,MONTH(AugSun1+19)=8),AugSun1+19, "")</f>
        <v>45884</v>
      </c>
      <c r="Y23" s="10">
        <f>IF(AND(YEAR(AugSun1+20)=$A$6,MONTH(AugSun1+20)=8),AugSun1+20, "")</f>
        <v>45885</v>
      </c>
      <c r="AA23" s="10">
        <f>IF(AND(YEAR(NovSun1+14)=$A$6,MONTH(NovSun1+14)=11),NovSun1+14, "")</f>
        <v>45970</v>
      </c>
      <c r="AB23" s="10">
        <f>IF(AND(YEAR(NovSun1+15)=$A$6,MONTH(NovSun1+15)=11),NovSun1+15, "")</f>
        <v>45971</v>
      </c>
      <c r="AC23" s="10">
        <f>IF(AND(YEAR(NovSun1+16)=$A$6,MONTH(NovSun1+16)=11),NovSun1+16, "")</f>
        <v>45972</v>
      </c>
      <c r="AD23" s="10">
        <f>IF(AND(YEAR(NovSun1+17)=$A$6,MONTH(NovSun1+17)=11),NovSun1+17, "")</f>
        <v>45973</v>
      </c>
      <c r="AE23" s="10">
        <f>IF(AND(YEAR(NovSun1+18)=$A$6,MONTH(NovSun1+18)=11),NovSun1+18, "")</f>
        <v>45974</v>
      </c>
      <c r="AF23" s="10">
        <f>IF(AND(YEAR(NovSun1+19)=$A$6,MONTH(NovSun1+19)=11),NovSun1+19, "")</f>
        <v>45975</v>
      </c>
      <c r="AG23" s="10">
        <f>IF(AND(YEAR(NovSun1+20)=$A$6,MONTH(NovSun1+20)=11),NovSun1+20, "")</f>
        <v>45976</v>
      </c>
    </row>
    <row r="24" spans="2:33" ht="15.95" customHeight="1" x14ac:dyDescent="0.2">
      <c r="C24" s="10">
        <f>IF(AND(YEAR(FebSun1+21)=$A$6,MONTH(FebSun1+21)=2),FebSun1+21, "")</f>
        <v>45704</v>
      </c>
      <c r="D24" s="10">
        <f>IF(AND(YEAR(FebSun1+22)=$A$6,MONTH(FebSun1+22)=2),FebSun1+22, "")</f>
        <v>45705</v>
      </c>
      <c r="E24" s="10">
        <f>IF(AND(YEAR(FebSun1+23)=$A$6,MONTH(FebSun1+23)=2),FebSun1+23, "")</f>
        <v>45706</v>
      </c>
      <c r="F24" s="10">
        <f>IF(AND(YEAR(FebSun1+24)=$A$6,MONTH(FebSun1+24)=2),FebSun1+24, "")</f>
        <v>45707</v>
      </c>
      <c r="G24" s="10">
        <f>IF(AND(YEAR(FebSun1+25)=$A$6,MONTH(FebSun1+25)=2),FebSun1+25, "")</f>
        <v>45708</v>
      </c>
      <c r="H24" s="10">
        <f>IF(AND(YEAR(FebSun1+26)=$A$6,MONTH(FebSun1+26)=2),FebSun1+26, "")</f>
        <v>45709</v>
      </c>
      <c r="I24" s="10">
        <f>IF(AND(YEAR(FebSun1+27)=$A$6,MONTH(FebSun1+27)=2),FebSun1+27, "")</f>
        <v>45710</v>
      </c>
      <c r="K24" s="10">
        <f>IF(AND(YEAR(MaySun1+21)=$A$6,MONTH(MaySun1+21)=5),MaySun1+21, "")</f>
        <v>45795</v>
      </c>
      <c r="L24" s="10">
        <f>IF(AND(YEAR(MaySun1+22)=$A$6,MONTH(MaySun1+22)=5),MaySun1+22, "")</f>
        <v>45796</v>
      </c>
      <c r="M24" s="10">
        <f>IF(AND(YEAR(MaySun1+23)=$A$6,MONTH(MaySun1+23)=5),MaySun1+23, "")</f>
        <v>45797</v>
      </c>
      <c r="N24" s="10">
        <f>IF(AND(YEAR(MaySun1+24)=$A$6,MONTH(MaySun1+24)=5),MaySun1+24, "")</f>
        <v>45798</v>
      </c>
      <c r="O24" s="10">
        <f>IF(AND(YEAR(MaySun1+25)=$A$6,MONTH(MaySun1+25)=5),MaySun1+25, "")</f>
        <v>45799</v>
      </c>
      <c r="P24" s="10">
        <f>IF(AND(YEAR(MaySun1+26)=$A$6,MONTH(MaySun1+26)=5),MaySun1+26, "")</f>
        <v>45800</v>
      </c>
      <c r="Q24" s="10">
        <f>IF(AND(YEAR(MaySun1+27)=$A$6,MONTH(MaySun1+27)=5),MaySun1+27, "")</f>
        <v>45801</v>
      </c>
      <c r="S24" s="10">
        <f>IF(AND(YEAR(AugSun1+21)=$A$6,MONTH(AugSun1+21)=8),AugSun1+21, "")</f>
        <v>45886</v>
      </c>
      <c r="T24" s="10">
        <f>IF(AND(YEAR(AugSun1+22)=$A$6,MONTH(AugSun1+22)=8),AugSun1+22, "")</f>
        <v>45887</v>
      </c>
      <c r="U24" s="10">
        <f>IF(AND(YEAR(AugSun1+23)=$A$6,MONTH(AugSun1+23)=8),AugSun1+23, "")</f>
        <v>45888</v>
      </c>
      <c r="V24" s="10">
        <f>IF(AND(YEAR(AugSun1+24)=$A$6,MONTH(AugSun1+24)=8),AugSun1+24, "")</f>
        <v>45889</v>
      </c>
      <c r="W24" s="10">
        <f>IF(AND(YEAR(AugSun1+25)=$A$6,MONTH(AugSun1+25)=8),AugSun1+25, "")</f>
        <v>45890</v>
      </c>
      <c r="X24" s="10">
        <f>IF(AND(YEAR(AugSun1+26)=$A$6,MONTH(AugSun1+26)=8),AugSun1+26, "")</f>
        <v>45891</v>
      </c>
      <c r="Y24" s="10">
        <f>IF(AND(YEAR(AugSun1+27)=$A$6,MONTH(AugSun1+27)=8),AugSun1+27, "")</f>
        <v>45892</v>
      </c>
      <c r="AA24" s="10">
        <f>IF(AND(YEAR(NovSun1+21)=$A$6,MONTH(NovSun1+21)=11),NovSun1+21, "")</f>
        <v>45977</v>
      </c>
      <c r="AB24" s="10">
        <f>IF(AND(YEAR(NovSun1+22)=$A$6,MONTH(NovSun1+22)=11),NovSun1+22, "")</f>
        <v>45978</v>
      </c>
      <c r="AC24" s="10">
        <f>IF(AND(YEAR(NovSun1+23)=$A$6,MONTH(NovSun1+23)=11),NovSun1+23, "")</f>
        <v>45979</v>
      </c>
      <c r="AD24" s="10">
        <f>IF(AND(YEAR(NovSun1+24)=$A$6,MONTH(NovSun1+24)=11),NovSun1+24, "")</f>
        <v>45980</v>
      </c>
      <c r="AE24" s="17">
        <f>IF(AND(YEAR(NovSun1+25)=$A$6,MONTH(NovSun1+25)=11),NovSun1+25, "")</f>
        <v>45981</v>
      </c>
      <c r="AF24" s="10">
        <f>IF(AND(YEAR(NovSun1+26)=$A$6,MONTH(NovSun1+26)=11),NovSun1+26, "")</f>
        <v>45982</v>
      </c>
      <c r="AG24" s="10">
        <f>IF(AND(YEAR(NovSun1+27)=$A$6,MONTH(NovSun1+27)=11),NovSun1+27, "")</f>
        <v>45983</v>
      </c>
    </row>
    <row r="25" spans="2:33" ht="15.95" customHeight="1" x14ac:dyDescent="0.2">
      <c r="C25" s="10">
        <f>IF(AND(YEAR(FebSun1+28)=$A$6,MONTH(FebSun1+28)=2),FebSun1+28, "")</f>
        <v>45711</v>
      </c>
      <c r="D25" s="10">
        <f>IF(AND(YEAR(FebSun1+29)=$A$6,MONTH(FebSun1+29)=2),FebSun1+29, "")</f>
        <v>45712</v>
      </c>
      <c r="E25" s="10">
        <f>IF(AND(YEAR(FebSun1+30)=$A$6,MONTH(FebSun1+30)=2),FebSun1+30, "")</f>
        <v>45713</v>
      </c>
      <c r="F25" s="10">
        <f>IF(AND(YEAR(FebSun1+31)=$A$6,MONTH(FebSun1+31)=2),FebSun1+31, "")</f>
        <v>45714</v>
      </c>
      <c r="G25" s="10">
        <f>IF(AND(YEAR(FebSun1+32)=$A$6,MONTH(FebSun1+32)=2),FebSun1+32, "")</f>
        <v>45715</v>
      </c>
      <c r="H25" s="10">
        <f>IF(AND(YEAR(FebSun1+33)=$A$6,MONTH(FebSun1+33)=2),FebSun1+33, "")</f>
        <v>45716</v>
      </c>
      <c r="I25" s="10" t="str">
        <f>IF(AND(YEAR(FebSun1+34)=$A$6,MONTH(FebSun1+34)=2),FebSun1+34, "")</f>
        <v/>
      </c>
      <c r="K25" s="10">
        <f>IF(AND(YEAR(MaySun1+28)=$A$6,MONTH(MaySun1+28)=5),MaySun1+28, "")</f>
        <v>45802</v>
      </c>
      <c r="L25" s="2">
        <f>IF(AND(YEAR(MaySun1+29)=$A$6,MONTH(MaySun1+29)=5),MaySun1+29, "")</f>
        <v>45803</v>
      </c>
      <c r="M25" s="10">
        <f>IF(AND(YEAR(MaySun1+30)=$A$6,MONTH(MaySun1+30)=5),MaySun1+30, "")</f>
        <v>45804</v>
      </c>
      <c r="N25" s="10">
        <f>IF(AND(YEAR(MaySun1+31)=$A$6,MONTH(MaySun1+31)=5),MaySun1+31, "")</f>
        <v>45805</v>
      </c>
      <c r="O25" s="10">
        <f>IF(AND(YEAR(MaySun1+32)=$A$6,MONTH(MaySun1+32)=5),MaySun1+32, "")</f>
        <v>45806</v>
      </c>
      <c r="P25" s="10">
        <f>IF(AND(YEAR(MaySun1+33)=$A$6,MONTH(MaySun1+33)=5),MaySun1+33, "")</f>
        <v>45807</v>
      </c>
      <c r="Q25" s="10">
        <f>IF(AND(YEAR(MaySun1+34)=$A$6,MONTH(MaySun1+34)=5),MaySun1+34, "")</f>
        <v>45808</v>
      </c>
      <c r="S25" s="10">
        <f>IF(AND(YEAR(AugSun1+28)=$A$6,MONTH(AugSun1+28)=8),AugSun1+28, "")</f>
        <v>45893</v>
      </c>
      <c r="T25" s="10">
        <f>IF(AND(YEAR(AugSun1+29)=$A$6,MONTH(AugSun1+29)=8),AugSun1+29, "")</f>
        <v>45894</v>
      </c>
      <c r="U25" s="10">
        <f>IF(AND(YEAR(AugSun1+30)=$A$6,MONTH(AugSun1+30)=8),AugSun1+30, "")</f>
        <v>45895</v>
      </c>
      <c r="V25" s="10">
        <f>IF(AND(YEAR(AugSun1+31)=$A$6,MONTH(AugSun1+31)=8),AugSun1+31, "")</f>
        <v>45896</v>
      </c>
      <c r="W25" s="10">
        <f>IF(AND(YEAR(AugSun1+32)=$A$6,MONTH(AugSun1+32)=8),AugSun1+32, "")</f>
        <v>45897</v>
      </c>
      <c r="X25" s="10">
        <f>IF(AND(YEAR(AugSun1+33)=$A$6,MONTH(AugSun1+33)=8),AugSun1+33, "")</f>
        <v>45898</v>
      </c>
      <c r="Y25" s="10">
        <f>IF(AND(YEAR(AugSun1+34)=$A$6,MONTH(AugSun1+34)=8),AugSun1+34, "")</f>
        <v>45899</v>
      </c>
      <c r="AA25" s="10">
        <f>IF(AND(YEAR(NovSun1+28)=$A$6,MONTH(NovSun1+28)=11),NovSun1+28, "")</f>
        <v>45984</v>
      </c>
      <c r="AB25" s="10">
        <f>IF(AND(YEAR(NovSun1+29)=$A$6,MONTH(NovSun1+29)=11),NovSun1+29, "")</f>
        <v>45985</v>
      </c>
      <c r="AC25" s="10">
        <f>IF(AND(YEAR(NovSun1+30)=$A$6,MONTH(NovSun1+30)=11),NovSun1+30, "")</f>
        <v>45986</v>
      </c>
      <c r="AD25" s="10">
        <f>IF(AND(YEAR(NovSun1+31)=$A$6,MONTH(NovSun1+31)=11),NovSun1+31, "")</f>
        <v>45987</v>
      </c>
      <c r="AE25" s="2">
        <f>IF(AND(YEAR(NovSun1+32)=$A$6,MONTH(NovSun1+32)=11),NovSun1+32, "")</f>
        <v>45988</v>
      </c>
      <c r="AF25" s="10">
        <f>IF(AND(YEAR(NovSun1+33)=$A$6,MONTH(NovSun1+33)=11),NovSun1+33, "")</f>
        <v>45989</v>
      </c>
      <c r="AG25" s="10">
        <f>IF(AND(YEAR(NovSun1+34)=$A$6,MONTH(NovSun1+34)=11),NovSun1+34, "")</f>
        <v>45990</v>
      </c>
    </row>
    <row r="26" spans="2:33" ht="15.95" customHeight="1" x14ac:dyDescent="0.2">
      <c r="C26" s="10"/>
      <c r="D26" s="10"/>
      <c r="E26" s="10"/>
      <c r="F26" s="10"/>
      <c r="G26" s="10"/>
      <c r="H26" s="10"/>
      <c r="I26" s="10"/>
      <c r="K26" s="10"/>
      <c r="L26" s="10"/>
      <c r="M26" s="10"/>
      <c r="N26" s="10"/>
      <c r="O26" s="10"/>
      <c r="P26" s="10"/>
      <c r="Q26" s="10"/>
      <c r="S26" s="10">
        <f>IF(AND(YEAR(AugSun1+35)=$A$6,MONTH(AugSun1+35)=8),AugSun1+35, "")</f>
        <v>45900</v>
      </c>
      <c r="T26" s="10"/>
      <c r="U26" s="10"/>
      <c r="V26" s="10"/>
      <c r="W26" s="10"/>
      <c r="X26" s="10"/>
      <c r="Y26" s="10"/>
      <c r="AA26" s="10">
        <f>IF(AND(YEAR(NovSun1+35)=$A$6,MONTH(NovSun1+35)=11),NovSun1+35, "")</f>
        <v>45991</v>
      </c>
      <c r="AB26" s="10"/>
      <c r="AC26" s="10"/>
      <c r="AD26" s="10"/>
      <c r="AE26" s="10"/>
      <c r="AF26" s="10"/>
      <c r="AG26" s="10"/>
    </row>
    <row r="27" spans="2:33" ht="15.95" customHeight="1" x14ac:dyDescent="0.2">
      <c r="C27" s="12"/>
      <c r="D27" s="12"/>
      <c r="E27" s="12"/>
      <c r="F27" s="12"/>
      <c r="G27" s="12"/>
      <c r="H27" s="12"/>
      <c r="I27" s="12"/>
      <c r="K27" s="12"/>
      <c r="L27" s="12"/>
      <c r="M27" s="12"/>
      <c r="N27" s="12"/>
      <c r="O27" s="12"/>
      <c r="P27" s="12"/>
      <c r="Q27" s="12"/>
      <c r="S27" s="12"/>
      <c r="T27" s="12"/>
      <c r="U27" s="12"/>
      <c r="V27" s="12"/>
      <c r="W27" s="12"/>
      <c r="X27" s="12"/>
      <c r="Y27" s="12"/>
      <c r="AA27" s="12"/>
      <c r="AB27" s="12"/>
      <c r="AC27" s="12"/>
      <c r="AD27" s="12"/>
      <c r="AE27" s="12"/>
      <c r="AF27" s="12"/>
      <c r="AG27" s="12"/>
    </row>
    <row r="28" spans="2:33" ht="15.95" customHeight="1" x14ac:dyDescent="0.2">
      <c r="C28" s="14" t="s">
        <v>7</v>
      </c>
      <c r="D28" s="15"/>
      <c r="E28" s="15"/>
      <c r="F28" s="15"/>
      <c r="G28" s="15"/>
      <c r="H28" s="15"/>
      <c r="I28" s="16"/>
      <c r="K28" s="14" t="s">
        <v>10</v>
      </c>
      <c r="L28" s="15"/>
      <c r="M28" s="15"/>
      <c r="N28" s="15"/>
      <c r="O28" s="15"/>
      <c r="P28" s="15"/>
      <c r="Q28" s="16"/>
      <c r="S28" s="14" t="s">
        <v>12</v>
      </c>
      <c r="T28" s="15"/>
      <c r="U28" s="15"/>
      <c r="V28" s="15"/>
      <c r="W28" s="15"/>
      <c r="X28" s="15"/>
      <c r="Y28" s="16"/>
      <c r="AA28" s="14" t="s">
        <v>16</v>
      </c>
      <c r="AB28" s="15"/>
      <c r="AC28" s="15"/>
      <c r="AD28" s="15"/>
      <c r="AE28" s="15"/>
      <c r="AF28" s="15"/>
      <c r="AG28" s="16"/>
    </row>
    <row r="29" spans="2:33" ht="15.95" customHeight="1" x14ac:dyDescent="0.2">
      <c r="B29" s="8"/>
      <c r="C29" s="9" t="s">
        <v>0</v>
      </c>
      <c r="D29" s="9" t="s">
        <v>1</v>
      </c>
      <c r="E29" s="9" t="s">
        <v>2</v>
      </c>
      <c r="F29" s="9" t="s">
        <v>3</v>
      </c>
      <c r="G29" s="9" t="s">
        <v>2</v>
      </c>
      <c r="H29" s="9" t="s">
        <v>4</v>
      </c>
      <c r="I29" s="9" t="s">
        <v>0</v>
      </c>
      <c r="K29" s="9" t="s">
        <v>0</v>
      </c>
      <c r="L29" s="9" t="s">
        <v>1</v>
      </c>
      <c r="M29" s="9" t="s">
        <v>2</v>
      </c>
      <c r="N29" s="9" t="s">
        <v>3</v>
      </c>
      <c r="O29" s="9" t="s">
        <v>2</v>
      </c>
      <c r="P29" s="9" t="s">
        <v>4</v>
      </c>
      <c r="Q29" s="9" t="s">
        <v>0</v>
      </c>
      <c r="S29" s="9" t="s">
        <v>0</v>
      </c>
      <c r="T29" s="9" t="s">
        <v>1</v>
      </c>
      <c r="U29" s="9" t="s">
        <v>2</v>
      </c>
      <c r="V29" s="9" t="s">
        <v>3</v>
      </c>
      <c r="W29" s="9" t="s">
        <v>2</v>
      </c>
      <c r="X29" s="9" t="s">
        <v>4</v>
      </c>
      <c r="Y29" s="9" t="s">
        <v>0</v>
      </c>
      <c r="AA29" s="9" t="s">
        <v>0</v>
      </c>
      <c r="AB29" s="9" t="s">
        <v>1</v>
      </c>
      <c r="AC29" s="9" t="s">
        <v>2</v>
      </c>
      <c r="AD29" s="9" t="s">
        <v>3</v>
      </c>
      <c r="AE29" s="9" t="s">
        <v>2</v>
      </c>
      <c r="AF29" s="9" t="s">
        <v>4</v>
      </c>
      <c r="AG29" s="9" t="s">
        <v>0</v>
      </c>
    </row>
    <row r="30" spans="2:33" ht="15.95" customHeight="1" x14ac:dyDescent="0.2">
      <c r="C30" s="10" t="str">
        <f>IF(AND(YEAR(MarSun1)=$A$6,MONTH(MarSun1)=3),MarSun1, "")</f>
        <v/>
      </c>
      <c r="D30" s="10" t="str">
        <f>IF(AND(YEAR(MarSun1+1)=$A$6,MONTH(MarSun1+1)=3),MarSun1+1, "")</f>
        <v/>
      </c>
      <c r="E30" s="10" t="str">
        <f>IF(AND(YEAR(MarSun1+2)=$A$6,MONTH(MarSun1+2)=3),MarSun1+2, "")</f>
        <v/>
      </c>
      <c r="F30" s="10" t="str">
        <f>IF(AND(YEAR(MarSun1+3)=$A$6,MONTH(MarSun1+3)=3),MarSun1+3, "")</f>
        <v/>
      </c>
      <c r="G30" s="10" t="str">
        <f>IF(AND(YEAR(MarSun1+4)=$A$6,MONTH(MarSun1+4)=3),MarSun1+4, "")</f>
        <v/>
      </c>
      <c r="H30" s="10" t="str">
        <f>IF(AND(YEAR(MarSun1+5)=$A$6,MONTH(MarSun1+5)=3),MarSun1+5, "")</f>
        <v/>
      </c>
      <c r="I30" s="10">
        <f>IF(AND(YEAR(MarSun1+6)=$A$6,MONTH(MarSun1+6)=3),MarSun1+6, "")</f>
        <v>45717</v>
      </c>
      <c r="K30" s="10">
        <f>IF(AND(YEAR(JunSun1)=$A$6,MONTH(JunSun1)=6),JunSun1, "")</f>
        <v>45809</v>
      </c>
      <c r="L30" s="10">
        <f>IF(AND(YEAR(JunSun1+1)=$A$6,MONTH(JunSun1+1)=6),JunSun1+1, "")</f>
        <v>45810</v>
      </c>
      <c r="M30" s="10">
        <f>IF(AND(YEAR(JunSun1+2)=$A$6,MONTH(JunSun1+2)=6),JunSun1+2, "")</f>
        <v>45811</v>
      </c>
      <c r="N30" s="10">
        <f>IF(AND(YEAR(JunSun1+3)=$A$6,MONTH(JunSun1+3)=6),JunSun1+3, "")</f>
        <v>45812</v>
      </c>
      <c r="O30" s="10">
        <f>IF(AND(YEAR(JunSun1+4)=$A$6,MONTH(JunSun1+4)=6),JunSun1+4, "")</f>
        <v>45813</v>
      </c>
      <c r="P30" s="10">
        <f>IF(AND(YEAR(JunSun1+5)=$A$6,MONTH(JunSun1+5)=6),JunSun1+5, "")</f>
        <v>45814</v>
      </c>
      <c r="Q30" s="10">
        <f>IF(AND(YEAR(JunSun1+6)=$A$6,MONTH(JunSun1+6)=6),JunSun1+6, "")</f>
        <v>45815</v>
      </c>
      <c r="S30" s="10" t="str">
        <f>IF(AND(YEAR(SepSun1)=$A$6,MONTH(SepSun1)=9),SepSun1, "")</f>
        <v/>
      </c>
      <c r="T30" s="2">
        <f>IF(AND(YEAR(SepSun1+1)=$A$6,MONTH(SepSun1+1)=9),SepSun1+1, "")</f>
        <v>45901</v>
      </c>
      <c r="U30" s="10">
        <f>IF(AND(YEAR(SepSun1+2)=$A$6,MONTH(SepSun1+2)=9),SepSun1+2, "")</f>
        <v>45902</v>
      </c>
      <c r="V30" s="10">
        <f>IF(AND(YEAR(SepSun1+3)=$A$6,MONTH(SepSun1+3)=9),SepSun1+3, "")</f>
        <v>45903</v>
      </c>
      <c r="W30" s="10">
        <f>IF(AND(YEAR(SepSun1+4)=$A$6,MONTH(SepSun1+4)=9),SepSun1+4, "")</f>
        <v>45904</v>
      </c>
      <c r="X30" s="10">
        <f>IF(AND(YEAR(SepSun1+5)=$A$6,MONTH(SepSun1+5)=9),SepSun1+5, "")</f>
        <v>45905</v>
      </c>
      <c r="Y30" s="10">
        <f>IF(AND(YEAR(SepSun1+6)=$A$6,MONTH(SepSun1+6)=9),SepSun1+6, "")</f>
        <v>45906</v>
      </c>
      <c r="AA30" s="10" t="str">
        <f>IF(AND(YEAR(DecSun1)=$A$6,MONTH(DecSun1)=12),DecSun1, "")</f>
        <v/>
      </c>
      <c r="AB30" s="10">
        <f>IF(AND(YEAR(DecSun1+1)=$A$6,MONTH(DecSun1+1)=12),DecSun1+1, "")</f>
        <v>45992</v>
      </c>
      <c r="AC30" s="10">
        <f>IF(AND(YEAR(DecSun1+2)=$A$6,MONTH(DecSun1+2)=12),DecSun1+2, "")</f>
        <v>45993</v>
      </c>
      <c r="AD30" s="10">
        <f>IF(AND(YEAR(DecSun1+3)=$A$6,MONTH(DecSun1+3)=12),DecSun1+3, "")</f>
        <v>45994</v>
      </c>
      <c r="AE30" s="10">
        <f>IF(AND(YEAR(DecSun1+4)=$A$6,MONTH(DecSun1+4)=12),DecSun1+4, "")</f>
        <v>45995</v>
      </c>
      <c r="AF30" s="10">
        <f>IF(AND(YEAR(DecSun1+5)=$A$6,MONTH(DecSun1+5)=12),DecSun1+5, "")</f>
        <v>45996</v>
      </c>
      <c r="AG30" s="10">
        <f>IF(AND(YEAR(DecSun1+6)=$A$6,MONTH(DecSun1+6)=12),DecSun1+6, "")</f>
        <v>45997</v>
      </c>
    </row>
    <row r="31" spans="2:33" ht="15.95" customHeight="1" x14ac:dyDescent="0.2">
      <c r="C31" s="10">
        <f>IF(AND(YEAR(MarSun1+7)=$A$6,MONTH(MarSun1+7)=3),MarSun1+7, "")</f>
        <v>45718</v>
      </c>
      <c r="D31" s="10">
        <f>IF(AND(YEAR(MarSun1+8)=$A$6,MONTH(MarSun1+8)=3),MarSun1+8, "")</f>
        <v>45719</v>
      </c>
      <c r="E31" s="10">
        <f>IF(AND(YEAR(MarSun1+9)=$A$6,MONTH(MarSun1+9)=3),MarSun1+9, "")</f>
        <v>45720</v>
      </c>
      <c r="F31" s="10">
        <f>IF(AND(YEAR(MarSun1+10)=$A$6,MONTH(MarSun1+10)=3),MarSun1+10, "")</f>
        <v>45721</v>
      </c>
      <c r="G31" s="10">
        <f>IF(AND(YEAR(MarSun1+11)=$A$6,MONTH(MarSun1+11)=3),MarSun1+11, "")</f>
        <v>45722</v>
      </c>
      <c r="H31" s="10">
        <f>IF(AND(YEAR(MarSun1+12)=$A$6,MONTH(MarSun1+12)=3),MarSun1+12, "")</f>
        <v>45723</v>
      </c>
      <c r="I31" s="10">
        <f>IF(AND(YEAR(MarSun1+13)=$A$6,MONTH(MarSun1+13)=3),MarSun1+13, "")</f>
        <v>45724</v>
      </c>
      <c r="K31" s="10">
        <f>IF(AND(YEAR(JunSun1+7)=$A$6,MONTH(JunSun1+7)=6),JunSun1+7, "")</f>
        <v>45816</v>
      </c>
      <c r="L31" s="10">
        <f>IF(AND(YEAR(JunSun1+8)=$A$6,MONTH(JunSun1+8)=6),JunSun1+8, "")</f>
        <v>45817</v>
      </c>
      <c r="M31" s="10">
        <f>IF(AND(YEAR(JunSun1+9)=$A$6,MONTH(JunSun1+9)=6),JunSun1+9, "")</f>
        <v>45818</v>
      </c>
      <c r="N31" s="10">
        <f>IF(AND(YEAR(JunSun1+10)=$A$6,MONTH(JunSun1+10)=6),JunSun1+10, "")</f>
        <v>45819</v>
      </c>
      <c r="O31" s="10">
        <f>IF(AND(YEAR(JunSun1+11)=$A$6,MONTH(JunSun1+11)=6),JunSun1+11, "")</f>
        <v>45820</v>
      </c>
      <c r="P31" s="10">
        <f>IF(AND(YEAR(JunSun1+12)=$A$6,MONTH(JunSun1+12)=6),JunSun1+12, "")</f>
        <v>45821</v>
      </c>
      <c r="Q31" s="10">
        <f>IF(AND(YEAR(JunSun1+13)=$A$6,MONTH(JunSun1+13)=6),JunSun1+13, "")</f>
        <v>45822</v>
      </c>
      <c r="S31" s="10">
        <f>IF(AND(YEAR(SepSun1+7)=$A$6,MONTH(SepSun1+7)=9),SepSun1+7, "")</f>
        <v>45907</v>
      </c>
      <c r="T31" s="17">
        <f>IF(AND(YEAR(SepSun1+8)=$A$6,MONTH(SepSun1+8)=9),SepSun1+8, "")</f>
        <v>45908</v>
      </c>
      <c r="U31" s="10">
        <f>IF(AND(YEAR(SepSun1+9)=$A$6,MONTH(SepSun1+9)=9),SepSun1+9, "")</f>
        <v>45909</v>
      </c>
      <c r="V31" s="10">
        <f>IF(AND(YEAR(SepSun1+10)=$A$6,MONTH(SepSun1+10)=9),SepSun1+10, "")</f>
        <v>45910</v>
      </c>
      <c r="W31" s="10">
        <f>IF(AND(YEAR(SepSun1+11)=$A$6,MONTH(SepSun1+11)=9),SepSun1+11, "")</f>
        <v>45911</v>
      </c>
      <c r="X31" s="10">
        <f>IF(AND(YEAR(SepSun1+12)=$A$6,MONTH(SepSun1+12)=9),SepSun1+12, "")</f>
        <v>45912</v>
      </c>
      <c r="Y31" s="10">
        <f>IF(AND(YEAR(SepSun1+13)=$A$6,MONTH(SepSun1+13)=9),SepSun1+13, "")</f>
        <v>45913</v>
      </c>
      <c r="AA31" s="10">
        <f>IF(AND(YEAR(DecSun1+7)=$A$6,MONTH(DecSun1+7)=12),DecSun1+7, "")</f>
        <v>45998</v>
      </c>
      <c r="AB31" s="10">
        <f>IF(AND(YEAR(DecSun1+8)=$A$6,MONTH(DecSun1+8)=12),DecSun1+8, "")</f>
        <v>45999</v>
      </c>
      <c r="AC31" s="10">
        <f>IF(AND(YEAR(DecSun1+9)=$A$6,MONTH(DecSun1+9)=12),DecSun1+9, "")</f>
        <v>46000</v>
      </c>
      <c r="AD31" s="10">
        <f>IF(AND(YEAR(DecSun1+10)=$A$6,MONTH(DecSun1+10)=12),DecSun1+10, "")</f>
        <v>46001</v>
      </c>
      <c r="AE31" s="10">
        <f>IF(AND(YEAR(DecSun1+11)=$A$6,MONTH(DecSun1+11)=12),DecSun1+11, "")</f>
        <v>46002</v>
      </c>
      <c r="AF31" s="10">
        <f>IF(AND(YEAR(DecSun1+12)=$A$6,MONTH(DecSun1+12)=12),DecSun1+12, "")</f>
        <v>46003</v>
      </c>
      <c r="AG31" s="10">
        <f>IF(AND(YEAR(DecSun1+13)=$A$6,MONTH(DecSun1+13)=12),DecSun1+13, "")</f>
        <v>46004</v>
      </c>
    </row>
    <row r="32" spans="2:33" ht="15.95" customHeight="1" x14ac:dyDescent="0.2">
      <c r="C32" s="10">
        <f>IF(AND(YEAR(MarSun1+14)=$A$6,MONTH(MarSun1+14)=3),MarSun1+14, "")</f>
        <v>45725</v>
      </c>
      <c r="D32" s="10">
        <f>IF(AND(YEAR(MarSun1+15)=$A$6,MONTH(MarSun1+15)=3),MarSun1+15, "")</f>
        <v>45726</v>
      </c>
      <c r="E32" s="10">
        <f>IF(AND(YEAR(MarSun1+16)=$A$6,MONTH(MarSun1+16)=3),MarSun1+16, "")</f>
        <v>45727</v>
      </c>
      <c r="F32" s="10">
        <f>IF(AND(YEAR(MarSun1+17)=$A$6,MONTH(MarSun1+17)=3),MarSun1+17, "")</f>
        <v>45728</v>
      </c>
      <c r="G32" s="10">
        <f>IF(AND(YEAR(MarSun1+18)=$A$6,MONTH(MarSun1+18)=3),MarSun1+18, "")</f>
        <v>45729</v>
      </c>
      <c r="H32" s="10">
        <f>IF(AND(YEAR(MarSun1+19)=$A$6,MONTH(MarSun1+19)=3),MarSun1+19, "")</f>
        <v>45730</v>
      </c>
      <c r="I32" s="10">
        <f>IF(AND(YEAR(MarSun1+20)=$A$6,MONTH(MarSun1+20)=3),MarSun1+20, "")</f>
        <v>45731</v>
      </c>
      <c r="K32" s="10">
        <f>IF(AND(YEAR(JunSun1+14)=$A$6,MONTH(JunSun1+14)=6),JunSun1+14, "")</f>
        <v>45823</v>
      </c>
      <c r="L32" s="10">
        <f>IF(AND(YEAR(JunSun1+15)=$A$6,MONTH(JunSun1+15)=6),JunSun1+15, "")</f>
        <v>45824</v>
      </c>
      <c r="M32" s="10">
        <f>IF(AND(YEAR(JunSun1+16)=$A$6,MONTH(JunSun1+16)=6),JunSun1+16, "")</f>
        <v>45825</v>
      </c>
      <c r="N32" s="10">
        <f>IF(AND(YEAR(JunSun1+17)=$A$6,MONTH(JunSun1+17)=6),JunSun1+17, "")</f>
        <v>45826</v>
      </c>
      <c r="O32" s="10">
        <f>IF(AND(YEAR(JunSun1+18)=$A$6,MONTH(JunSun1+18)=6),JunSun1+18, "")</f>
        <v>45827</v>
      </c>
      <c r="P32" s="10">
        <f>IF(AND(YEAR(JunSun1+19)=$A$6,MONTH(JunSun1+19)=6),JunSun1+19, "")</f>
        <v>45828</v>
      </c>
      <c r="Q32" s="10">
        <f>IF(AND(YEAR(JunSun1+20)=$A$6,MONTH(JunSun1+20)=6),JunSun1+20, "")</f>
        <v>45829</v>
      </c>
      <c r="S32" s="10">
        <f>IF(AND(YEAR(SepSun1+14)=$A$6,MONTH(SepSun1+14)=9),SepSun1+14, "")</f>
        <v>45914</v>
      </c>
      <c r="T32" s="10">
        <f>IF(AND(YEAR(SepSun1+15)=$A$6,MONTH(SepSun1+15)=9),SepSun1+15, "")</f>
        <v>45915</v>
      </c>
      <c r="U32" s="10">
        <f>IF(AND(YEAR(SepSun1+16)=$A$6,MONTH(SepSun1+16)=9),SepSun1+16, "")</f>
        <v>45916</v>
      </c>
      <c r="V32" s="10">
        <f>IF(AND(YEAR(SepSun1+17)=$A$6,MONTH(SepSun1+17)=9),SepSun1+17, "")</f>
        <v>45917</v>
      </c>
      <c r="W32" s="10">
        <f>IF(AND(YEAR(SepSun1+18)=$A$6,MONTH(SepSun1+18)=9),SepSun1+18, "")</f>
        <v>45918</v>
      </c>
      <c r="X32" s="10">
        <f>IF(AND(YEAR(SepSun1+19)=$A$6,MONTH(SepSun1+19)=9),SepSun1+19, "")</f>
        <v>45919</v>
      </c>
      <c r="Y32" s="10">
        <f>IF(AND(YEAR(SepSun1+20)=$A$6,MONTH(SepSun1+20)=9),SepSun1+20, "")</f>
        <v>45920</v>
      </c>
      <c r="AA32" s="10">
        <f>IF(AND(YEAR(DecSun1+14)=$A$6,MONTH(DecSun1+14)=12),DecSun1+14, "")</f>
        <v>46005</v>
      </c>
      <c r="AB32" s="10">
        <f>IF(AND(YEAR(DecSun1+15)=$A$6,MONTH(DecSun1+15)=12),DecSun1+15, "")</f>
        <v>46006</v>
      </c>
      <c r="AC32" s="10">
        <f>IF(AND(YEAR(DecSun1+16)=$A$6,MONTH(DecSun1+16)=12),DecSun1+16, "")</f>
        <v>46007</v>
      </c>
      <c r="AD32" s="10">
        <f>IF(AND(YEAR(DecSun1+17)=$A$6,MONTH(DecSun1+17)=12),DecSun1+17, "")</f>
        <v>46008</v>
      </c>
      <c r="AE32" s="10">
        <f>IF(AND(YEAR(DecSun1+18)=$A$6,MONTH(DecSun1+18)=12),DecSun1+18, "")</f>
        <v>46009</v>
      </c>
      <c r="AF32" s="10">
        <f>IF(AND(YEAR(DecSun1+19)=$A$6,MONTH(DecSun1+19)=12),DecSun1+19, "")</f>
        <v>46010</v>
      </c>
      <c r="AG32" s="10">
        <f>IF(AND(YEAR(DecSun1+20)=$A$6,MONTH(DecSun1+20)=12),DecSun1+20, "")</f>
        <v>46011</v>
      </c>
    </row>
    <row r="33" spans="2:33" ht="15.95" customHeight="1" x14ac:dyDescent="0.2">
      <c r="C33" s="10">
        <f>IF(AND(YEAR(MarSun1+21)=$A$6,MONTH(MarSun1+21)=3),MarSun1+21, "")</f>
        <v>45732</v>
      </c>
      <c r="D33" s="10">
        <f>IF(AND(YEAR(MarSun1+22)=$A$6,MONTH(MarSun1+22)=3),MarSun1+22, "")</f>
        <v>45733</v>
      </c>
      <c r="E33" s="10">
        <f>IF(AND(YEAR(MarSun1+23)=$A$6,MONTH(MarSun1+23)=3),MarSun1+23, "")</f>
        <v>45734</v>
      </c>
      <c r="F33" s="10">
        <f>IF(AND(YEAR(MarSun1+24)=$A$6,MONTH(MarSun1+24)=3),MarSun1+24, "")</f>
        <v>45735</v>
      </c>
      <c r="G33" s="10">
        <f>IF(AND(YEAR(MarSun1+25)=$A$6,MONTH(MarSun1+25)=3),MarSun1+25, "")</f>
        <v>45736</v>
      </c>
      <c r="H33" s="10">
        <f>IF(AND(YEAR(MarSun1+26)=$A$6,MONTH(MarSun1+26)=3),MarSun1+26, "")</f>
        <v>45737</v>
      </c>
      <c r="I33" s="10">
        <f>IF(AND(YEAR(MarSun1+27)=$A$6,MONTH(MarSun1+27)=3),MarSun1+27, "")</f>
        <v>45738</v>
      </c>
      <c r="K33" s="10">
        <f>IF(AND(YEAR(JunSun1+21)=$A$6,MONTH(JunSun1+21)=6),JunSun1+21, "")</f>
        <v>45830</v>
      </c>
      <c r="L33" s="10">
        <f>IF(AND(YEAR(JunSun1+22)=$A$6,MONTH(JunSun1+22)=6),JunSun1+22, "")</f>
        <v>45831</v>
      </c>
      <c r="M33" s="10">
        <f>IF(AND(YEAR(JunSun1+23)=$A$6,MONTH(JunSun1+23)=6),JunSun1+23, "")</f>
        <v>45832</v>
      </c>
      <c r="N33" s="10">
        <f>IF(AND(YEAR(JunSun1+24)=$A$6,MONTH(JunSun1+24)=6),JunSun1+24, "")</f>
        <v>45833</v>
      </c>
      <c r="O33" s="10">
        <f>IF(AND(YEAR(JunSun1+25)=$A$6,MONTH(JunSun1+25)=6),JunSun1+25, "")</f>
        <v>45834</v>
      </c>
      <c r="P33" s="10">
        <f>IF(AND(YEAR(JunSun1+26)=$A$6,MONTH(JunSun1+26)=6),JunSun1+26, "")</f>
        <v>45835</v>
      </c>
      <c r="Q33" s="10">
        <f>IF(AND(YEAR(JunSun1+27)=$A$6,MONTH(JunSun1+27)=6),JunSun1+27, "")</f>
        <v>45836</v>
      </c>
      <c r="S33" s="10">
        <f>IF(AND(YEAR(SepSun1+21)=$A$6,MONTH(SepSun1+21)=9),SepSun1+21, "")</f>
        <v>45921</v>
      </c>
      <c r="T33" s="10">
        <f>IF(AND(YEAR(SepSun1+22)=$A$6,MONTH(SepSun1+22)=9),SepSun1+22, "")</f>
        <v>45922</v>
      </c>
      <c r="U33" s="10">
        <f>IF(AND(YEAR(SepSun1+23)=$A$6,MONTH(SepSun1+23)=9),SepSun1+23, "")</f>
        <v>45923</v>
      </c>
      <c r="V33" s="10">
        <f>IF(AND(YEAR(SepSun1+24)=$A$6,MONTH(SepSun1+24)=9),SepSun1+24, "")</f>
        <v>45924</v>
      </c>
      <c r="W33" s="10">
        <f>IF(AND(YEAR(SepSun1+25)=$A$6,MONTH(SepSun1+25)=9),SepSun1+25, "")</f>
        <v>45925</v>
      </c>
      <c r="X33" s="10">
        <f>IF(AND(YEAR(SepSun1+26)=$A$6,MONTH(SepSun1+26)=9),SepSun1+26, "")</f>
        <v>45926</v>
      </c>
      <c r="Y33" s="10">
        <f>IF(AND(YEAR(SepSun1+27)=$A$6,MONTH(SepSun1+27)=9),SepSun1+27, "")</f>
        <v>45927</v>
      </c>
      <c r="AA33" s="10">
        <f>IF(AND(YEAR(DecSun1+21)=$A$6,MONTH(DecSun1+21)=12),DecSun1+21, "")</f>
        <v>46012</v>
      </c>
      <c r="AB33" s="2">
        <f>IF(AND(YEAR(DecSun1+22)=$A$6,MONTH(DecSun1+22)=12),DecSun1+22, "")</f>
        <v>46013</v>
      </c>
      <c r="AC33" s="2">
        <f>IF(AND(YEAR(DecSun1+23)=$A$6,MONTH(DecSun1+23)=12),DecSun1+23, "")</f>
        <v>46014</v>
      </c>
      <c r="AD33" s="2">
        <f>IF(AND(YEAR(DecSun1+24)=$A$6,MONTH(DecSun1+24)=12),DecSun1+24, "")</f>
        <v>46015</v>
      </c>
      <c r="AE33" s="2">
        <f>IF(AND(YEAR(DecSun1+25)=$A$6,MONTH(DecSun1+25)=12),DecSun1+25, "")</f>
        <v>46016</v>
      </c>
      <c r="AF33" s="2">
        <f>IF(AND(YEAR(DecSun1+26)=$A$6,MONTH(DecSun1+26)=12),DecSun1+26, "")</f>
        <v>46017</v>
      </c>
      <c r="AG33" s="17">
        <f>IF(AND(YEAR(DecSun1+27)=$A$6,MONTH(DecSun1+27)=12),DecSun1+27, "")</f>
        <v>46018</v>
      </c>
    </row>
    <row r="34" spans="2:33" ht="15.95" customHeight="1" x14ac:dyDescent="0.2">
      <c r="C34" s="10">
        <f>IF(AND(YEAR(MarSun1+28)=$A$6,MONTH(MarSun1+28)=3),MarSun1+28, "")</f>
        <v>45739</v>
      </c>
      <c r="D34" s="10">
        <f>IF(AND(YEAR(MarSun1+29)=$A$6,MONTH(MarSun1+29)=3),MarSun1+29, "")</f>
        <v>45740</v>
      </c>
      <c r="E34" s="10">
        <f>IF(AND(YEAR(MarSun1+30)=$A$6,MONTH(MarSun1+30)=3),MarSun1+30, "")</f>
        <v>45741</v>
      </c>
      <c r="F34" s="10">
        <f>IF(AND(YEAR(MarSun1+31)=$A$6,MONTH(MarSun1+31)=3),MarSun1+31, "")</f>
        <v>45742</v>
      </c>
      <c r="G34" s="10">
        <f>IF(AND(YEAR(MarSun1+32)=$A$6,MONTH(MarSun1+32)=3),MarSun1+32, "")</f>
        <v>45743</v>
      </c>
      <c r="H34" s="10">
        <f>IF(AND(YEAR(MarSun1+33)=$A$6,MONTH(MarSun1+33)=3),MarSun1+33, "")</f>
        <v>45744</v>
      </c>
      <c r="I34" s="10">
        <f>IF(AND(YEAR(MarSun1+34)=$A$6,MONTH(MarSun1+34)=3),MarSun1+34, "")</f>
        <v>45745</v>
      </c>
      <c r="K34" s="10">
        <f>IF(AND(YEAR(JunSun1+28)=$A$6,MONTH(JunSun1+28)=6),JunSun1+28, "")</f>
        <v>45837</v>
      </c>
      <c r="L34" s="10">
        <f>IF(AND(YEAR(JunSun1+29)=$A$6,MONTH(JunSun1+29)=6),JunSun1+29, "")</f>
        <v>45838</v>
      </c>
      <c r="M34" s="10" t="str">
        <f>IF(AND(YEAR(JunSun1+30)=$A$6,MONTH(JunSun1+30)=6),JunSun1+30, "")</f>
        <v/>
      </c>
      <c r="N34" s="10" t="str">
        <f>IF(AND(YEAR(JunSun1+31)=$A$6,MONTH(JunSun1+31)=6),JunSun1+31, "")</f>
        <v/>
      </c>
      <c r="O34" s="10" t="str">
        <f>IF(AND(YEAR(JunSun1+32)=$A$6,MONTH(JunSun1+32)=6),JunSun1+32, "")</f>
        <v/>
      </c>
      <c r="P34" s="10" t="str">
        <f>IF(AND(YEAR(JunSun1+33)=$A$6,MONTH(JunSun1+33)=6),JunSun1+33, "")</f>
        <v/>
      </c>
      <c r="Q34" s="10" t="str">
        <f>IF(AND(YEAR(JunSun1+34)=$A$6,MONTH(JunSun1+34)=6),JunSun1+34, "")</f>
        <v/>
      </c>
      <c r="S34" s="10">
        <f>IF(AND(YEAR(SepSun1+28)=$A$6,MONTH(SepSun1+28)=9),SepSun1+28, "")</f>
        <v>45928</v>
      </c>
      <c r="T34" s="10">
        <f>IF(AND(YEAR(SepSun1+29)=$A$6,MONTH(SepSun1+29)=9),SepSun1+29, "")</f>
        <v>45929</v>
      </c>
      <c r="U34" s="10">
        <f>IF(AND(YEAR(SepSun1+30)=$A$6,MONTH(SepSun1+30)=9),SepSun1+30, "")</f>
        <v>45930</v>
      </c>
      <c r="V34" s="10" t="str">
        <f>IF(AND(YEAR(SepSun1+31)=$A$6,MONTH(SepSun1+31)=9),SepSun1+31, "")</f>
        <v/>
      </c>
      <c r="W34" s="10" t="str">
        <f>IF(AND(YEAR(SepSun1+32)=$A$6,MONTH(SepSun1+32)=9),SepSun1+32, "")</f>
        <v/>
      </c>
      <c r="X34" s="10" t="str">
        <f>IF(AND(YEAR(SepSun1+33)=$A$6,MONTH(SepSun1+33)=9),SepSun1+33, "")</f>
        <v/>
      </c>
      <c r="Y34" s="10" t="str">
        <f>IF(AND(YEAR(SepSun1+34)=$A$6,MONTH(SepSun1+34)=9),SepSun1+34, "")</f>
        <v/>
      </c>
      <c r="AA34" s="10">
        <f>IF(AND(YEAR(DecSun1+28)=$A$6,MONTH(DecSun1+28)=12),DecSun1+28, "")</f>
        <v>46019</v>
      </c>
      <c r="AB34" s="10">
        <f>IF(AND(YEAR(DecSun1+29)=$A$6,MONTH(DecSun1+29)=12),DecSun1+29, "")</f>
        <v>46020</v>
      </c>
      <c r="AC34" s="10">
        <f>IF(AND(YEAR(DecSun1+30)=$A$6,MONTH(DecSun1+30)=12),DecSun1+30, "")</f>
        <v>46021</v>
      </c>
      <c r="AD34" s="10">
        <f>IF(AND(YEAR(DecSun1+31)=$A$6,MONTH(DecSun1+31)=12),DecSun1+31, "")</f>
        <v>46022</v>
      </c>
      <c r="AE34" s="10" t="str">
        <f>IF(AND(YEAR(DecSun1+32)=$A$6,MONTH(DecSun1+32)=12),DecSun1+32, "")</f>
        <v/>
      </c>
      <c r="AF34" s="10" t="str">
        <f>IF(AND(YEAR(DecSun1+33)=$A$6,MONTH(DecSun1+33)=12),DecSun1+33, "")</f>
        <v/>
      </c>
      <c r="AG34" s="10" t="str">
        <f>IF(AND(YEAR(DecSun1+34)=$A$6,MONTH(DecSun1+34)=12),DecSun1+34, "")</f>
        <v/>
      </c>
    </row>
    <row r="35" spans="2:33" x14ac:dyDescent="0.2">
      <c r="B35" s="13"/>
      <c r="C35" s="10">
        <v>30</v>
      </c>
      <c r="D35" s="10">
        <v>31</v>
      </c>
      <c r="E35" s="10" t="str">
        <f>IF(AND(YEAR(JunSun1+30)=$A$6,MONTH(JunSun1+30)=6),JunSun1+30, "")</f>
        <v/>
      </c>
      <c r="F35" s="10" t="str">
        <f>IF(AND(YEAR(JunSun1+31)=$A$6,MONTH(JunSun1+31)=6),JunSun1+31, "")</f>
        <v/>
      </c>
      <c r="G35" s="10" t="str">
        <f>IF(AND(YEAR(JunSun1+32)=$A$6,MONTH(JunSun1+32)=6),JunSun1+32, "")</f>
        <v/>
      </c>
      <c r="H35" s="10" t="str">
        <f>IF(AND(YEAR(JunSun1+33)=$A$6,MONTH(JunSun1+33)=6),JunSun1+33, "")</f>
        <v/>
      </c>
      <c r="I35" s="10" t="str">
        <f>IF(AND(YEAR(JunSun1+34)=$A$6,MONTH(JunSun1+34)=6),JunSun1+34, "")</f>
        <v/>
      </c>
      <c r="K35" s="10"/>
      <c r="L35" s="10"/>
      <c r="M35" s="10"/>
      <c r="N35" s="10"/>
      <c r="O35" s="10"/>
      <c r="P35" s="10"/>
      <c r="Q35" s="10"/>
      <c r="S35" s="10"/>
      <c r="T35" s="10"/>
      <c r="U35" s="10"/>
      <c r="V35" s="10"/>
      <c r="W35" s="10"/>
      <c r="X35" s="10"/>
      <c r="Y35" s="10"/>
      <c r="AA35" s="10"/>
      <c r="AB35" s="10"/>
      <c r="AC35" s="10"/>
      <c r="AD35" s="10"/>
      <c r="AE35" s="10"/>
      <c r="AF35" s="10"/>
      <c r="AG35" s="10"/>
    </row>
    <row r="36" spans="2:33" x14ac:dyDescent="0.2">
      <c r="B36" s="13"/>
      <c r="C36" s="13"/>
      <c r="D36" s="13"/>
      <c r="E36" s="13"/>
      <c r="F36" s="13"/>
      <c r="G36" s="13"/>
      <c r="H36" s="13"/>
      <c r="I36" s="13"/>
      <c r="K36" s="13"/>
      <c r="L36" s="13"/>
      <c r="M36" s="13"/>
      <c r="N36" s="13"/>
      <c r="O36" s="13"/>
      <c r="P36" s="13"/>
      <c r="Q36" s="13"/>
      <c r="S36" s="13"/>
      <c r="T36" s="13"/>
      <c r="U36" s="13"/>
      <c r="V36" s="13"/>
      <c r="W36" s="13"/>
      <c r="X36" s="13"/>
      <c r="Y36" s="13"/>
      <c r="AA36" s="13"/>
      <c r="AB36" s="13"/>
      <c r="AC36" s="13"/>
      <c r="AD36" s="13"/>
      <c r="AE36" s="13"/>
      <c r="AF36" s="13"/>
      <c r="AG36" s="13"/>
    </row>
    <row r="37" spans="2:33" x14ac:dyDescent="0.2">
      <c r="B37" s="13"/>
      <c r="C37" s="13"/>
      <c r="D37" s="13"/>
      <c r="E37" s="13"/>
      <c r="F37" s="13"/>
      <c r="G37" s="13"/>
      <c r="H37" s="13"/>
      <c r="I37" s="13"/>
      <c r="K37" s="13"/>
      <c r="L37" s="13"/>
      <c r="M37" s="13"/>
      <c r="N37" s="13"/>
      <c r="O37" s="13"/>
      <c r="P37" s="13"/>
      <c r="Q37" s="13"/>
      <c r="S37" s="13"/>
      <c r="T37" s="13"/>
      <c r="U37" s="13"/>
      <c r="V37" s="13"/>
      <c r="W37" s="13"/>
      <c r="X37" s="13"/>
      <c r="Y37" s="13"/>
      <c r="AA37" s="13"/>
      <c r="AB37" s="13"/>
      <c r="AC37" s="13"/>
      <c r="AD37" s="13"/>
      <c r="AE37" s="13"/>
      <c r="AF37" s="13"/>
      <c r="AG37" s="13"/>
    </row>
    <row r="38" spans="2:33" x14ac:dyDescent="0.2">
      <c r="B38" s="13"/>
      <c r="C38" s="13"/>
      <c r="D38" s="13"/>
      <c r="E38" s="13"/>
      <c r="F38" s="13"/>
      <c r="G38" s="13"/>
      <c r="H38" s="13"/>
      <c r="I38" s="13"/>
      <c r="K38" s="13"/>
      <c r="L38" s="13"/>
      <c r="M38" s="13"/>
      <c r="N38" s="13"/>
      <c r="O38" s="13"/>
      <c r="P38" s="13"/>
      <c r="Q38" s="13"/>
      <c r="S38" s="13"/>
      <c r="T38" s="13"/>
      <c r="U38" s="13"/>
      <c r="V38" s="13"/>
      <c r="W38" s="13"/>
      <c r="X38" s="13"/>
      <c r="Y38" s="13"/>
      <c r="AA38" s="13"/>
      <c r="AB38" s="13"/>
      <c r="AC38" s="13"/>
      <c r="AD38" s="13"/>
      <c r="AE38" s="13"/>
      <c r="AF38" s="13"/>
      <c r="AG38" s="13"/>
    </row>
    <row r="39" spans="2:33" x14ac:dyDescent="0.2">
      <c r="B39" s="13"/>
      <c r="C39" s="13"/>
      <c r="D39" s="13"/>
      <c r="E39" s="13"/>
      <c r="F39" s="13"/>
      <c r="G39" s="13"/>
      <c r="H39" s="13"/>
      <c r="I39" s="13"/>
      <c r="K39" s="13"/>
      <c r="L39" s="13"/>
      <c r="M39" s="13"/>
      <c r="N39" s="13"/>
      <c r="O39" s="13"/>
      <c r="P39" s="13"/>
      <c r="Q39" s="13"/>
      <c r="S39" s="13"/>
      <c r="T39" s="13"/>
      <c r="U39" s="13"/>
      <c r="V39" s="13"/>
      <c r="W39" s="13"/>
      <c r="X39" s="13"/>
      <c r="Y39" s="13"/>
      <c r="AA39" s="13"/>
      <c r="AB39" s="13"/>
      <c r="AC39" s="13"/>
      <c r="AD39" s="13"/>
      <c r="AE39" s="13"/>
      <c r="AF39" s="13"/>
      <c r="AG39" s="13"/>
    </row>
  </sheetData>
  <mergeCells count="12">
    <mergeCell ref="S11:Y11"/>
    <mergeCell ref="S19:Y19"/>
    <mergeCell ref="S28:Y28"/>
    <mergeCell ref="AA11:AG11"/>
    <mergeCell ref="AA19:AG19"/>
    <mergeCell ref="AA28:AG28"/>
    <mergeCell ref="C11:I11"/>
    <mergeCell ref="C19:I19"/>
    <mergeCell ref="C28:I28"/>
    <mergeCell ref="K11:Q11"/>
    <mergeCell ref="K19:Q19"/>
    <mergeCell ref="K28:Q28"/>
  </mergeCells>
  <phoneticPr fontId="1" type="noConversion"/>
  <dataValidations disablePrompts="1" count="1">
    <dataValidation type="whole" allowBlank="1" showInputMessage="1" showErrorMessage="1" sqref="A6:B10" xr:uid="{00000000-0002-0000-0000-000000000000}">
      <formula1>1900</formula1>
      <formula2>9999</formula2>
    </dataValidation>
  </dataValidations>
  <printOptions horizontalCentered="1" verticalCentered="1"/>
  <pageMargins left="0.5" right="0.5" top="0.5" bottom="0.5" header="0.5" footer="0.5"/>
  <pageSetup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print="0" autoPict="0">
                <anchor moveWithCells="1">
                  <from>
                    <xdr:col>1</xdr:col>
                    <xdr:colOff>9525</xdr:colOff>
                    <xdr:row>5</xdr:row>
                    <xdr:rowOff>0</xdr:rowOff>
                  </from>
                  <to>
                    <xdr:col>1</xdr:col>
                    <xdr:colOff>209550</xdr:colOff>
                    <xdr:row>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A00756C09E704F97C1FA97947B599C" ma:contentTypeVersion="2" ma:contentTypeDescription="Create a new document." ma:contentTypeScope="" ma:versionID="a399bc23b3edc0ea9e13a4e142d95c37">
  <xsd:schema xmlns:xsd="http://www.w3.org/2001/XMLSchema" xmlns:xs="http://www.w3.org/2001/XMLSchema" xmlns:p="http://schemas.microsoft.com/office/2006/metadata/properties" xmlns:ns2="753d0501-1436-46e2-bf81-7f329d712bb2" targetNamespace="http://schemas.microsoft.com/office/2006/metadata/properties" ma:root="true" ma:fieldsID="e1395e2b4eecae4cfc12c57c1f0cb9dd" ns2:_="">
    <xsd:import namespace="753d0501-1436-46e2-bf81-7f329d712b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d0501-1436-46e2-bf81-7f329d712b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E4AB37-8F2B-4BAC-AC6E-42EF0D389140}">
  <ds:schemaRefs>
    <ds:schemaRef ds:uri="http://purl.org/dc/terms/"/>
    <ds:schemaRef ds:uri="http://purl.org/dc/dcmitype/"/>
    <ds:schemaRef ds:uri="753d0501-1436-46e2-bf81-7f329d712bb2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3AAC194-773B-46C0-811F-42B92F78D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3d0501-1436-46e2-bf81-7f329d712b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4656C6-0A8D-434D-AFA9-D38CF2C654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2012-11-05T23:06:15Z</dcterms:created>
  <dcterms:modified xsi:type="dcterms:W3CDTF">2025-10-23T19:44:23Z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TC102741249990</vt:lpwstr>
  </property>
  <property fmtid="{D5CDD505-2E9C-101B-9397-08002B2CF9AE}" pid="3" name="ContentTypeId">
    <vt:lpwstr>0x010100CAA00756C09E704F97C1FA97947B599C</vt:lpwstr>
  </property>
  <property fmtid="{D5CDD505-2E9C-101B-9397-08002B2CF9AE}" pid="4" name="Order">
    <vt:r8>205800</vt:r8>
  </property>
</Properties>
</file>